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105" windowWidth="15600" windowHeight="9240" activeTab="3"/>
  </bookViews>
  <sheets>
    <sheet name="FIVE" sheetId="27" r:id="rId1"/>
    <sheet name="FIVEDeter" sheetId="34" r:id="rId2"/>
    <sheet name="FIVEStochastic" sheetId="35" r:id="rId3"/>
    <sheet name="HUDSON" sheetId="28" r:id="rId4"/>
  </sheets>
  <definedNames>
    <definedName name="solver_adj" localSheetId="1" hidden="1">FIVEDeter!$B$19:$B$22</definedName>
    <definedName name="solver_adj" localSheetId="2" hidden="1">FIVEStochastic!$B$23:$D$25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st" localSheetId="1" hidden="1">1</definedName>
    <definedName name="solver_est" localSheetId="2" hidden="1">1</definedName>
    <definedName name="solver_itr" localSheetId="1" hidden="1">1000</definedName>
    <definedName name="solver_itr" localSheetId="2" hidden="1">1000</definedName>
    <definedName name="solver_lhs1" localSheetId="1" hidden="1">FIVEDeter!$B$23</definedName>
    <definedName name="solver_lhs1" localSheetId="2" hidden="1">FIVEStochastic!$B$15</definedName>
    <definedName name="solver_lhs2" localSheetId="1" hidden="1">FIVEDeter!$B$15</definedName>
    <definedName name="solver_lhs2" localSheetId="2" hidden="1">FIVEStochastic!$B$15:$D$17</definedName>
    <definedName name="solver_lhs3" localSheetId="1" hidden="1">FIVEDeter!$B$16:$B$17</definedName>
    <definedName name="solver_lin" localSheetId="1" hidden="1">2</definedName>
    <definedName name="solver_lin" localSheetId="2" hidden="1">2</definedName>
    <definedName name="solver_neg" localSheetId="1" hidden="1">2</definedName>
    <definedName name="solver_neg" localSheetId="2" hidden="1">2</definedName>
    <definedName name="solver_num" localSheetId="1" hidden="1">3</definedName>
    <definedName name="solver_num" localSheetId="2" hidden="1">2</definedName>
    <definedName name="solver_nwt" localSheetId="1" hidden="1">1</definedName>
    <definedName name="solver_nwt" localSheetId="2" hidden="1">1</definedName>
    <definedName name="solver_opt" localSheetId="1" hidden="1">FIVEDeter!$B$18</definedName>
    <definedName name="solver_opt" localSheetId="2" hidden="1">FIVEStochastic!$E$21</definedName>
    <definedName name="solver_pre" localSheetId="1" hidden="1">0.000001</definedName>
    <definedName name="solver_pre" localSheetId="2" hidden="1">0.0001</definedName>
    <definedName name="solver_rel1" localSheetId="1" hidden="1">2</definedName>
    <definedName name="solver_rel1" localSheetId="2" hidden="1">2</definedName>
    <definedName name="solver_rel2" localSheetId="1" hidden="1">2</definedName>
    <definedName name="solver_rel2" localSheetId="2" hidden="1">2</definedName>
    <definedName name="solver_rel3" localSheetId="1" hidden="1">2</definedName>
    <definedName name="solver_rhs1" localSheetId="1" hidden="1">FIVEDeter!$B$24</definedName>
    <definedName name="solver_rhs1" localSheetId="2" hidden="1">0</definedName>
    <definedName name="solver_rhs2" localSheetId="1" hidden="1">0</definedName>
    <definedName name="solver_rhs2" localSheetId="2" hidden="1">FIVEStochastic!$B$15</definedName>
    <definedName name="solver_rhs3" localSheetId="1" hidden="1">FIVEDeter!$B$15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3</definedName>
    <definedName name="solver_typ" localSheetId="2" hidden="1">3</definedName>
    <definedName name="solver_val" localSheetId="1" hidden="1">0</definedName>
    <definedName name="solver_val" localSheetId="2" hidden="1">0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34"/>
  <c r="B12"/>
  <c r="B3"/>
  <c r="B4"/>
  <c r="C9" i="35"/>
  <c r="C8"/>
  <c r="C7"/>
  <c r="A7" i="27"/>
  <c r="C7"/>
  <c r="D7"/>
  <c r="E7"/>
  <c r="F7"/>
  <c r="G7"/>
  <c r="H7"/>
  <c r="I7"/>
  <c r="J7"/>
  <c r="K7"/>
  <c r="L7"/>
  <c r="B23" i="34"/>
  <c r="B16" s="1"/>
  <c r="B5"/>
  <c r="B24" l="1"/>
  <c r="B15"/>
  <c r="D9" i="35"/>
  <c r="D8"/>
  <c r="D7"/>
  <c r="B3" l="1"/>
  <c r="B4"/>
  <c r="B5"/>
  <c r="C5" s="1"/>
  <c r="D5" s="1"/>
  <c r="B7"/>
  <c r="B8"/>
  <c r="B9"/>
  <c r="B10"/>
  <c r="B11"/>
  <c r="B12"/>
  <c r="C12" s="1"/>
  <c r="C4"/>
  <c r="C3"/>
  <c r="C44" i="34"/>
  <c r="D44" s="1"/>
  <c r="E44" s="1"/>
  <c r="F44" s="1"/>
  <c r="G44" s="1"/>
  <c r="H44" s="1"/>
  <c r="I44" s="1"/>
  <c r="J44" s="1"/>
  <c r="K44" s="1"/>
  <c r="A27"/>
  <c r="B25"/>
  <c r="B6"/>
  <c r="N12" i="27"/>
  <c r="M12"/>
  <c r="L5"/>
  <c r="K5"/>
  <c r="J5"/>
  <c r="I5"/>
  <c r="H5"/>
  <c r="G5"/>
  <c r="F5"/>
  <c r="E5"/>
  <c r="D5"/>
  <c r="C5"/>
  <c r="L4"/>
  <c r="L6" s="1"/>
  <c r="K4"/>
  <c r="K6" s="1"/>
  <c r="J4"/>
  <c r="J6" s="1"/>
  <c r="I4"/>
  <c r="I6" s="1"/>
  <c r="H4"/>
  <c r="H6" s="1"/>
  <c r="G4"/>
  <c r="G6" s="1"/>
  <c r="F4"/>
  <c r="F6" s="1"/>
  <c r="E4"/>
  <c r="E6" s="1"/>
  <c r="D4"/>
  <c r="D6" s="1"/>
  <c r="C4"/>
  <c r="C6" s="1"/>
  <c r="B5"/>
  <c r="B4"/>
  <c r="F11" i="28"/>
  <c r="E11"/>
  <c r="D11"/>
  <c r="C11"/>
  <c r="B11"/>
  <c r="F8"/>
  <c r="E8"/>
  <c r="D8"/>
  <c r="C8"/>
  <c r="B8"/>
  <c r="B20" i="35" l="1"/>
  <c r="B15"/>
  <c r="C10"/>
  <c r="B6" i="27"/>
  <c r="K46" i="34"/>
  <c r="K45"/>
  <c r="B6" i="35"/>
  <c r="D12"/>
  <c r="D4"/>
  <c r="D3"/>
  <c r="D10"/>
  <c r="B26"/>
  <c r="C11"/>
  <c r="C15" s="1"/>
  <c r="K47" i="34"/>
  <c r="B36"/>
  <c r="B45"/>
  <c r="D45"/>
  <c r="F45"/>
  <c r="H45"/>
  <c r="J45"/>
  <c r="B46"/>
  <c r="D46"/>
  <c r="F46"/>
  <c r="H46"/>
  <c r="J46"/>
  <c r="B37"/>
  <c r="C45"/>
  <c r="E45"/>
  <c r="G45"/>
  <c r="I45"/>
  <c r="C46"/>
  <c r="E46"/>
  <c r="G46"/>
  <c r="I46"/>
  <c r="L8" i="27"/>
  <c r="J8"/>
  <c r="J10" s="1"/>
  <c r="H8"/>
  <c r="H10" s="1"/>
  <c r="F8"/>
  <c r="F10" s="1"/>
  <c r="D8"/>
  <c r="D10" s="1"/>
  <c r="H3"/>
  <c r="I3" s="1"/>
  <c r="J3" s="1"/>
  <c r="K3" s="1"/>
  <c r="G16" i="28"/>
  <c r="F16"/>
  <c r="E16"/>
  <c r="D16"/>
  <c r="C16"/>
  <c r="B16"/>
  <c r="G14"/>
  <c r="F14"/>
  <c r="E14"/>
  <c r="D14"/>
  <c r="C14"/>
  <c r="B14"/>
  <c r="G13"/>
  <c r="F13"/>
  <c r="E13"/>
  <c r="D13"/>
  <c r="C13"/>
  <c r="B13"/>
  <c r="G11"/>
  <c r="G17" s="1"/>
  <c r="F17"/>
  <c r="E17"/>
  <c r="D17"/>
  <c r="C17"/>
  <c r="B17"/>
  <c r="G8"/>
  <c r="G15" s="1"/>
  <c r="F15"/>
  <c r="E15"/>
  <c r="D15"/>
  <c r="C15"/>
  <c r="B15"/>
  <c r="C3"/>
  <c r="D3" s="1"/>
  <c r="E3" s="1"/>
  <c r="F3" s="1"/>
  <c r="B18" i="35" l="1"/>
  <c r="B19"/>
  <c r="B16"/>
  <c r="C34"/>
  <c r="C29"/>
  <c r="C20"/>
  <c r="C6"/>
  <c r="C36" s="1"/>
  <c r="L13" i="27"/>
  <c r="L10"/>
  <c r="D11" i="35"/>
  <c r="D15" s="1"/>
  <c r="C26"/>
  <c r="H47" i="34"/>
  <c r="D47"/>
  <c r="I47"/>
  <c r="E47"/>
  <c r="G47"/>
  <c r="C47"/>
  <c r="J47"/>
  <c r="F47"/>
  <c r="B47"/>
  <c r="B35"/>
  <c r="B17" s="1"/>
  <c r="D9" i="27"/>
  <c r="F9"/>
  <c r="H9"/>
  <c r="J9"/>
  <c r="L9"/>
  <c r="C8"/>
  <c r="C10" s="1"/>
  <c r="E8"/>
  <c r="G8"/>
  <c r="G10" s="1"/>
  <c r="I8"/>
  <c r="K8"/>
  <c r="C20" i="28"/>
  <c r="E20"/>
  <c r="G20"/>
  <c r="C21"/>
  <c r="E21"/>
  <c r="G21"/>
  <c r="D20"/>
  <c r="F20"/>
  <c r="D13" i="27"/>
  <c r="F13"/>
  <c r="H13"/>
  <c r="J13"/>
  <c r="E9"/>
  <c r="I9"/>
  <c r="C9"/>
  <c r="G9"/>
  <c r="K9"/>
  <c r="D21" i="28"/>
  <c r="F21"/>
  <c r="C18"/>
  <c r="E18"/>
  <c r="G18"/>
  <c r="B18"/>
  <c r="D18"/>
  <c r="F18"/>
  <c r="C31" i="35" l="1"/>
  <c r="D6"/>
  <c r="D18" s="1"/>
  <c r="C30"/>
  <c r="C28" s="1"/>
  <c r="C35"/>
  <c r="C33" s="1"/>
  <c r="C18"/>
  <c r="C19"/>
  <c r="D19"/>
  <c r="C16"/>
  <c r="K13" i="27"/>
  <c r="K10"/>
  <c r="I13"/>
  <c r="I10"/>
  <c r="E13"/>
  <c r="E10"/>
  <c r="D26" i="35"/>
  <c r="D21" a="1"/>
  <c r="B38" i="34"/>
  <c r="B18" a="1"/>
  <c r="B18" s="1"/>
  <c r="O8" i="27"/>
  <c r="G13"/>
  <c r="M8"/>
  <c r="N8"/>
  <c r="C13"/>
  <c r="M9"/>
  <c r="N9"/>
  <c r="C27" i="35" l="1"/>
  <c r="D16"/>
  <c r="D17"/>
  <c r="C32"/>
  <c r="C37"/>
  <c r="C17"/>
  <c r="C21" s="1" a="1"/>
  <c r="C21" s="1"/>
  <c r="E21" s="1" a="1"/>
  <c r="D21" l="1"/>
  <c r="B17" l="1"/>
  <c r="B21" s="1" a="1"/>
  <c r="B21" s="1"/>
  <c r="E21" s="1"/>
</calcChain>
</file>

<file path=xl/sharedStrings.xml><?xml version="1.0" encoding="utf-8"?>
<sst xmlns="http://schemas.openxmlformats.org/spreadsheetml/2006/main" count="301" uniqueCount="136">
  <si>
    <t>ADR Growth</t>
  </si>
  <si>
    <t>INPUT</t>
  </si>
  <si>
    <t>K</t>
  </si>
  <si>
    <t>r</t>
  </si>
  <si>
    <t>OUTPUT</t>
  </si>
  <si>
    <t xml:space="preserve"> </t>
  </si>
  <si>
    <t>C</t>
  </si>
  <si>
    <t>C*</t>
  </si>
  <si>
    <r>
      <t>Q</t>
    </r>
    <r>
      <rPr>
        <sz val="10"/>
        <rFont val="Symbol"/>
        <family val="1"/>
        <charset val="2"/>
      </rPr>
      <t>(b,h)</t>
    </r>
  </si>
  <si>
    <t>PART 1</t>
  </si>
  <si>
    <t>PART 2</t>
  </si>
  <si>
    <t>SUM</t>
  </si>
  <si>
    <t>SP</t>
  </si>
  <si>
    <t>PART 3</t>
  </si>
  <si>
    <t>SOLVER</t>
  </si>
  <si>
    <t>Deterministic</t>
  </si>
  <si>
    <t>0.5*(D7^2)*D23*(D23-1)+0.5*(D8^2)*D24*(D24-1)+D9*D7*D8*D23*D24+D11*D23+D12*D24-D10</t>
  </si>
  <si>
    <t>T*</t>
  </si>
  <si>
    <t>VM</t>
  </si>
  <si>
    <t>b</t>
  </si>
  <si>
    <t>h</t>
  </si>
  <si>
    <r>
      <t>C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</si>
  <si>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Tahoma"/>
        <family val="2"/>
      </rPr>
      <t>C</t>
    </r>
  </si>
  <si>
    <r>
      <t>q</t>
    </r>
    <r>
      <rPr>
        <vertAlign val="subscript"/>
        <sz val="10"/>
        <rFont val="Tahoma"/>
        <family val="2"/>
      </rPr>
      <t>C</t>
    </r>
  </si>
  <si>
    <r>
      <t>T*</t>
    </r>
    <r>
      <rPr>
        <vertAlign val="subscript"/>
        <sz val="10"/>
        <rFont val="Arial"/>
        <family val="2"/>
      </rPr>
      <t>C</t>
    </r>
  </si>
  <si>
    <t>C*VALUE</t>
  </si>
  <si>
    <t>Renewal V-K</t>
  </si>
  <si>
    <t>NPV=0</t>
  </si>
  <si>
    <t>B3/(B10-B11)-B4/(B10-B12)-B5</t>
  </si>
  <si>
    <t>ASSET DETERIORATION OVER THE YEARS</t>
  </si>
  <si>
    <t>YEARS</t>
  </si>
  <si>
    <t>EQ 4</t>
  </si>
  <si>
    <t>EQ 7</t>
  </si>
  <si>
    <t>EQ 9</t>
  </si>
  <si>
    <t>$B$3*EXP($B$11*B46)</t>
  </si>
  <si>
    <t>$B$4*EXP($B$12*B46)</t>
  </si>
  <si>
    <t>B11*B19+B12*B20-B10</t>
  </si>
  <si>
    <t>SET B18=0,CHANGING B19:B22,B23=B24</t>
  </si>
  <si>
    <t>(1/B12)*(LN(B22/B4))</t>
  </si>
  <si>
    <t>(1/B11)*(LN(B21/B3))</t>
  </si>
  <si>
    <t>B21*((1/B10)+(B11/B10)*(EXP(-B10*B24)/(B10-B11)))</t>
  </si>
  <si>
    <t>B22*((1/B10)+(B12/B10)*(EXP(-B10*B24)/(B10-B12)))</t>
  </si>
  <si>
    <t>B35-B36-B37</t>
  </si>
  <si>
    <t>((B3/B21)^B19)*((B4/B22)^B20)-EXP(-B10*B23)</t>
  </si>
  <si>
    <t>ROOMS</t>
  </si>
  <si>
    <t>MEAN</t>
  </si>
  <si>
    <t>STDEV</t>
  </si>
  <si>
    <t>OCC</t>
  </si>
  <si>
    <t>ADR</t>
  </si>
  <si>
    <t>RevPAR</t>
  </si>
  <si>
    <t>ROOM REV</t>
  </si>
  <si>
    <t>NONRM-REV</t>
  </si>
  <si>
    <t>TOTAL REV</t>
  </si>
  <si>
    <t>OP INC</t>
  </si>
  <si>
    <t>OP COST</t>
  </si>
  <si>
    <t>PER ROOM</t>
  </si>
  <si>
    <t>OCC*ADR</t>
  </si>
  <si>
    <t>NONRM-RevPAR</t>
  </si>
  <si>
    <t>TOTAL RevPAR</t>
  </si>
  <si>
    <t>OP COST PAR</t>
  </si>
  <si>
    <t>PROFIT PER AVAILABLE ROOM</t>
  </si>
  <si>
    <t>RENOVATION COST PER ROOM</t>
  </si>
  <si>
    <t>CORREL</t>
  </si>
  <si>
    <t>STATISTICS</t>
  </si>
  <si>
    <t>Relative RevPAR Growth</t>
  </si>
  <si>
    <t>Rescale Total RevPAR</t>
  </si>
  <si>
    <t>OpCOST Growth</t>
  </si>
  <si>
    <t>MONDRIAN LA</t>
  </si>
  <si>
    <t>HUDSON</t>
  </si>
  <si>
    <t>MORGANS</t>
  </si>
  <si>
    <t>ROYALTON</t>
  </si>
  <si>
    <t>DELANO</t>
  </si>
  <si>
    <t>FIVE HOTELS</t>
  </si>
  <si>
    <t>US INDUSTRY</t>
  </si>
  <si>
    <t>RevPAR Growth US</t>
  </si>
  <si>
    <t>RevPAR Growth MHG FIVE</t>
  </si>
  <si>
    <t>2006 TOTALRevPar</t>
  </si>
  <si>
    <t xml:space="preserve">2006 COST </t>
  </si>
  <si>
    <t>FIVE HOTEL ROOM RENOVATION MODEL</t>
  </si>
  <si>
    <r>
      <t>R</t>
    </r>
    <r>
      <rPr>
        <vertAlign val="subscript"/>
        <sz val="10"/>
        <rFont val="Arial"/>
        <family val="2"/>
      </rPr>
      <t>I</t>
    </r>
  </si>
  <si>
    <r>
      <t>q</t>
    </r>
    <r>
      <rPr>
        <vertAlign val="subscript"/>
        <sz val="10"/>
        <rFont val="Tahoma"/>
        <family val="2"/>
      </rPr>
      <t>R</t>
    </r>
  </si>
  <si>
    <r>
      <t>s</t>
    </r>
    <r>
      <rPr>
        <vertAlign val="subscript"/>
        <sz val="10"/>
        <rFont val="Tahoma"/>
        <family val="2"/>
      </rPr>
      <t>R</t>
    </r>
  </si>
  <si>
    <t>R</t>
  </si>
  <si>
    <t>R*</t>
  </si>
  <si>
    <r>
      <t>T*</t>
    </r>
    <r>
      <rPr>
        <vertAlign val="subscript"/>
        <sz val="10"/>
        <rFont val="Arial"/>
        <family val="2"/>
      </rPr>
      <t>R</t>
    </r>
  </si>
  <si>
    <t>R*-C*</t>
  </si>
  <si>
    <t>R* VALUE</t>
  </si>
  <si>
    <t>R-C</t>
  </si>
  <si>
    <t>EQ 15</t>
  </si>
  <si>
    <t>EQ 17</t>
  </si>
  <si>
    <t xml:space="preserve">                                        FIVE HOTEL DETERMINISTIC RENOVATION MODEL</t>
  </si>
  <si>
    <t>Stochastic Multiple</t>
  </si>
  <si>
    <t>Stochastic MULTIPLE</t>
  </si>
  <si>
    <t>DETERMINISTIC</t>
  </si>
  <si>
    <t>Stochastic SINGLE</t>
  </si>
  <si>
    <t>D25/(-D23*(D10-D11))-D6/(D24*(D10-D12))</t>
  </si>
  <si>
    <t>Stochastic Single</t>
  </si>
  <si>
    <t>F*</t>
  </si>
  <si>
    <t>F* RenOption</t>
  </si>
  <si>
    <t>PART I</t>
  </si>
  <si>
    <t>PART II</t>
  </si>
  <si>
    <t>PART III</t>
  </si>
  <si>
    <t>VALUE AT EXERCISE POINT</t>
  </si>
  <si>
    <t>OPERATING VALUE AT EXERCISE POINT</t>
  </si>
  <si>
    <t>EQ 13</t>
  </si>
  <si>
    <t>EQ 12</t>
  </si>
  <si>
    <t>EQ 11</t>
  </si>
  <si>
    <t>SOLVER SET E21=0, CHANGING B23:D25</t>
  </si>
  <si>
    <t>((C6/C6)^C24)*((C25/C25)^C23)</t>
  </si>
  <si>
    <t>(C25)/(C10-C11)-(C6)/(C10-C12)</t>
  </si>
  <si>
    <t>F*D RenOption</t>
  </si>
  <si>
    <t>Renovation Option Value Deterministic</t>
  </si>
  <si>
    <t>Renovation Option Value Stochastic</t>
  </si>
  <si>
    <t>F RenOp-RenDeter</t>
  </si>
  <si>
    <t>F*Deterministic</t>
  </si>
  <si>
    <t>0.5*(C7^2)*C23*(C23-1)+0.5*(C8^2)*C24*(C24-1)+C9*C7*C8*C23*C24+C11*C23+C12*C24-C10</t>
  </si>
  <si>
    <t>C25/(-C23*(C10-C11))-C6/(C24*(C10-C12))</t>
  </si>
  <si>
    <t>C18*C19+C20</t>
  </si>
  <si>
    <t>C6/(C24*(C10-C12))</t>
  </si>
  <si>
    <t>1-C23-C24-((C3^C23)*(C4^C24)/(C6^(C23+C24)))*((-C23*(C10-C11)/(C24*(C10-C12)))^-C23)</t>
  </si>
  <si>
    <t>-C3/(C10-C11)+C4/(C10-C12)+C5</t>
  </si>
  <si>
    <t>D18-D19</t>
  </si>
  <si>
    <t>(D6/(D24*(D10-D12)))*(1-D23-D24)</t>
  </si>
  <si>
    <t>D3/(D10-D11)-D4/(D10-D12)-D5</t>
  </si>
  <si>
    <t>C29*-C30+C31</t>
  </si>
  <si>
    <t>C29*-C30</t>
  </si>
  <si>
    <t>C25/(C23*(C10-C11))</t>
  </si>
  <si>
    <t>C34*-C35+C36</t>
  </si>
  <si>
    <t>C34*-C35</t>
  </si>
  <si>
    <t>((C6/C6)^C24)*((B25/C25)^C23)</t>
  </si>
  <si>
    <t>C28-C33</t>
  </si>
  <si>
    <r>
      <t>(</t>
    </r>
    <r>
      <rPr>
        <sz val="10"/>
        <color rgb="FFFF0000"/>
        <rFont val="Arial"/>
        <family val="2"/>
      </rPr>
      <t>B25</t>
    </r>
    <r>
      <rPr>
        <sz val="10"/>
        <rFont val="Arial"/>
        <family val="2"/>
      </rPr>
      <t>)/(C10-C11)-(C6)/(C10-C12)</t>
    </r>
  </si>
  <si>
    <r>
      <t>(</t>
    </r>
    <r>
      <rPr>
        <sz val="10"/>
        <color rgb="FFFF0000"/>
        <rFont val="Arial"/>
        <family val="2"/>
      </rPr>
      <t>B25</t>
    </r>
    <r>
      <rPr>
        <sz val="10"/>
        <rFont val="Arial"/>
        <family val="2"/>
      </rPr>
      <t>/(C23*(C10-C11))</t>
    </r>
  </si>
  <si>
    <t>EQ 16</t>
  </si>
  <si>
    <t>EQ 14</t>
  </si>
  <si>
    <t xml:space="preserve">RevPAR Growth 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</si>
</sst>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164" formatCode="0.000"/>
    <numFmt numFmtId="165" formatCode="0.0000"/>
    <numFmt numFmtId="166" formatCode="&quot;$&quot;#,##0"/>
    <numFmt numFmtId="167" formatCode="&quot;$&quot;#,##0.00"/>
  </numFmts>
  <fonts count="18">
    <font>
      <sz val="10"/>
      <name val="Arial"/>
    </font>
    <font>
      <b/>
      <sz val="12"/>
      <name val="Arial"/>
      <family val="2"/>
    </font>
    <font>
      <sz val="10"/>
      <name val="Symbol"/>
      <family val="1"/>
      <charset val="2"/>
    </font>
    <font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Rockwell"/>
      <family val="1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2" fontId="5" fillId="0" borderId="0" xfId="0" quotePrefix="1" applyNumberFormat="1" applyFont="1"/>
    <xf numFmtId="164" fontId="5" fillId="0" borderId="0" xfId="0" applyNumberFormat="1" applyFont="1"/>
    <xf numFmtId="10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0" fillId="0" borderId="0" xfId="0" applyFont="1" applyAlignment="1">
      <alignment horizontal="centerContinuous"/>
    </xf>
    <xf numFmtId="2" fontId="0" fillId="0" borderId="1" xfId="0" applyNumberFormat="1" applyBorder="1"/>
    <xf numFmtId="2" fontId="7" fillId="0" borderId="1" xfId="0" applyNumberFormat="1" applyFont="1" applyBorder="1"/>
    <xf numFmtId="10" fontId="7" fillId="0" borderId="0" xfId="0" applyNumberFormat="1" applyFont="1"/>
    <xf numFmtId="2" fontId="5" fillId="0" borderId="1" xfId="0" applyNumberFormat="1" applyFont="1" applyBorder="1"/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0" fillId="0" borderId="2" xfId="0" applyBorder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5" fillId="0" borderId="2" xfId="0" applyFont="1" applyBorder="1"/>
    <xf numFmtId="0" fontId="5" fillId="0" borderId="0" xfId="0" applyFont="1" applyBorder="1"/>
    <xf numFmtId="2" fontId="0" fillId="0" borderId="0" xfId="0" applyNumberFormat="1" applyBorder="1"/>
    <xf numFmtId="166" fontId="4" fillId="0" borderId="0" xfId="0" applyNumberFormat="1" applyFont="1" applyBorder="1"/>
    <xf numFmtId="0" fontId="2" fillId="0" borderId="2" xfId="0" applyFont="1" applyBorder="1"/>
    <xf numFmtId="0" fontId="6" fillId="0" borderId="2" xfId="0" applyFont="1" applyBorder="1"/>
    <xf numFmtId="165" fontId="0" fillId="0" borderId="0" xfId="0" applyNumberFormat="1" applyBorder="1"/>
    <xf numFmtId="0" fontId="3" fillId="0" borderId="2" xfId="0" applyFont="1" applyBorder="1"/>
    <xf numFmtId="165" fontId="5" fillId="0" borderId="0" xfId="0" applyNumberFormat="1" applyFont="1" applyBorder="1"/>
    <xf numFmtId="164" fontId="7" fillId="0" borderId="0" xfId="0" applyNumberFormat="1" applyFont="1" applyBorder="1"/>
    <xf numFmtId="164" fontId="0" fillId="0" borderId="0" xfId="0" applyNumberFormat="1" applyBorder="1"/>
    <xf numFmtId="164" fontId="5" fillId="0" borderId="0" xfId="0" applyNumberFormat="1" applyFont="1" applyBorder="1"/>
    <xf numFmtId="2" fontId="5" fillId="0" borderId="0" xfId="0" applyNumberFormat="1" applyFont="1" applyBorder="1"/>
    <xf numFmtId="0" fontId="5" fillId="0" borderId="3" xfId="0" applyFont="1" applyBorder="1"/>
    <xf numFmtId="0" fontId="5" fillId="0" borderId="4" xfId="0" applyFont="1" applyBorder="1"/>
    <xf numFmtId="2" fontId="5" fillId="0" borderId="5" xfId="0" applyNumberFormat="1" applyFont="1" applyBorder="1"/>
    <xf numFmtId="0" fontId="0" fillId="0" borderId="5" xfId="0" applyBorder="1"/>
    <xf numFmtId="0" fontId="0" fillId="0" borderId="6" xfId="0" applyBorder="1"/>
    <xf numFmtId="2" fontId="5" fillId="0" borderId="3" xfId="0" applyNumberFormat="1" applyFont="1" applyBorder="1"/>
    <xf numFmtId="0" fontId="7" fillId="0" borderId="0" xfId="0" applyFont="1" applyBorder="1"/>
    <xf numFmtId="2" fontId="7" fillId="0" borderId="0" xfId="0" applyNumberFormat="1" applyFont="1" applyBorder="1"/>
    <xf numFmtId="2" fontId="5" fillId="2" borderId="1" xfId="0" applyNumberFormat="1" applyFont="1" applyFill="1" applyBorder="1"/>
    <xf numFmtId="0" fontId="7" fillId="0" borderId="0" xfId="0" applyFont="1" applyBorder="1" applyAlignment="1">
      <alignment horizontal="centerContinuous"/>
    </xf>
    <xf numFmtId="0" fontId="11" fillId="0" borderId="1" xfId="0" applyFont="1" applyBorder="1" applyAlignment="1">
      <alignment horizontal="center" wrapText="1"/>
    </xf>
    <xf numFmtId="10" fontId="12" fillId="0" borderId="1" xfId="0" applyNumberFormat="1" applyFont="1" applyBorder="1" applyAlignment="1">
      <alignment horizontal="center" wrapText="1"/>
    </xf>
    <xf numFmtId="10" fontId="13" fillId="0" borderId="1" xfId="0" applyNumberFormat="1" applyFont="1" applyBorder="1" applyAlignment="1">
      <alignment horizontal="center" wrapText="1"/>
    </xf>
    <xf numFmtId="0" fontId="5" fillId="0" borderId="0" xfId="0" applyFont="1" applyFill="1" applyBorder="1"/>
    <xf numFmtId="0" fontId="7" fillId="0" borderId="0" xfId="0" applyFont="1" applyFill="1" applyBorder="1"/>
    <xf numFmtId="164" fontId="14" fillId="0" borderId="0" xfId="0" applyNumberFormat="1" applyFont="1"/>
    <xf numFmtId="10" fontId="5" fillId="0" borderId="0" xfId="0" applyNumberFormat="1" applyFont="1"/>
    <xf numFmtId="6" fontId="5" fillId="0" borderId="0" xfId="0" applyNumberFormat="1" applyFont="1"/>
    <xf numFmtId="9" fontId="0" fillId="0" borderId="0" xfId="0" applyNumberFormat="1"/>
    <xf numFmtId="2" fontId="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166" fontId="5" fillId="0" borderId="3" xfId="0" applyNumberFormat="1" applyFont="1" applyBorder="1"/>
    <xf numFmtId="1" fontId="5" fillId="0" borderId="0" xfId="0" applyNumberFormat="1" applyFont="1" applyFill="1" applyBorder="1"/>
    <xf numFmtId="167" fontId="0" fillId="0" borderId="0" xfId="0" applyNumberFormat="1" applyBorder="1"/>
    <xf numFmtId="0" fontId="5" fillId="0" borderId="7" xfId="0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2" fontId="14" fillId="0" borderId="0" xfId="0" applyNumberFormat="1" applyFont="1"/>
    <xf numFmtId="2" fontId="7" fillId="0" borderId="0" xfId="0" applyNumberFormat="1" applyFont="1"/>
    <xf numFmtId="165" fontId="17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8" xfId="0" applyBorder="1"/>
    <xf numFmtId="0" fontId="1" fillId="0" borderId="9" xfId="0" applyFont="1" applyBorder="1" applyAlignme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RevPAR</a:t>
            </a:r>
            <a:r>
              <a:rPr lang="en-US" baseline="0"/>
              <a:t> Growth: MHG FIVE vs US HOTEL INDUSTRY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FIVE!$A$7</c:f>
              <c:strCache>
                <c:ptCount val="1"/>
                <c:pt idx="0">
                  <c:v>RevPAR Growth US</c:v>
                </c:pt>
              </c:strCache>
            </c:strRef>
          </c:tx>
          <c:cat>
            <c:numRef>
              <c:f>FIVE!$C$3:$L$3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FIVE!$C$7:$L$7</c:f>
              <c:numCache>
                <c:formatCode>0.00%</c:formatCode>
                <c:ptCount val="10"/>
                <c:pt idx="0">
                  <c:v>-7.0000000000000007E-2</c:v>
                </c:pt>
                <c:pt idx="1">
                  <c:v>-2.7E-2</c:v>
                </c:pt>
                <c:pt idx="2">
                  <c:v>5.0000000000000001E-3</c:v>
                </c:pt>
                <c:pt idx="3">
                  <c:v>7.9000000000000001E-2</c:v>
                </c:pt>
                <c:pt idx="4">
                  <c:v>8.5000000000000006E-2</c:v>
                </c:pt>
                <c:pt idx="5">
                  <c:v>7.8E-2</c:v>
                </c:pt>
                <c:pt idx="6">
                  <c:v>5.8000000000000003E-2</c:v>
                </c:pt>
                <c:pt idx="7">
                  <c:v>-1.7999999999999999E-2</c:v>
                </c:pt>
                <c:pt idx="8">
                  <c:v>-0.16400000000000001</c:v>
                </c:pt>
                <c:pt idx="9">
                  <c:v>-7.0000000000000007E-2</c:v>
                </c:pt>
              </c:numCache>
            </c:numRef>
          </c:val>
        </c:ser>
        <c:ser>
          <c:idx val="1"/>
          <c:order val="1"/>
          <c:tx>
            <c:strRef>
              <c:f>FIVE!$A$8</c:f>
              <c:strCache>
                <c:ptCount val="1"/>
                <c:pt idx="0">
                  <c:v>RevPAR Growth MHG FIVE</c:v>
                </c:pt>
              </c:strCache>
            </c:strRef>
          </c:tx>
          <c:cat>
            <c:numRef>
              <c:f>FIVE!$C$3:$L$3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FIVE!$C$8:$L$8</c:f>
              <c:numCache>
                <c:formatCode>0.00%</c:formatCode>
                <c:ptCount val="10"/>
                <c:pt idx="0">
                  <c:v>-0.12069010258561445</c:v>
                </c:pt>
                <c:pt idx="1">
                  <c:v>-3.4967290060759833E-2</c:v>
                </c:pt>
                <c:pt idx="2">
                  <c:v>-3.7536956080069404E-3</c:v>
                </c:pt>
                <c:pt idx="3">
                  <c:v>9.5067021718299893E-2</c:v>
                </c:pt>
                <c:pt idx="4">
                  <c:v>0.1046097428699309</c:v>
                </c:pt>
                <c:pt idx="5">
                  <c:v>3.4153473703997267E-2</c:v>
                </c:pt>
                <c:pt idx="6">
                  <c:v>5.492317406289516E-2</c:v>
                </c:pt>
                <c:pt idx="7">
                  <c:v>-3.5654277103533208E-2</c:v>
                </c:pt>
                <c:pt idx="8">
                  <c:v>-0.2405486138693754</c:v>
                </c:pt>
                <c:pt idx="9">
                  <c:v>1.5711882932638442E-2</c:v>
                </c:pt>
              </c:numCache>
            </c:numRef>
          </c:val>
        </c:ser>
        <c:marker val="1"/>
        <c:axId val="66360448"/>
        <c:axId val="66361984"/>
      </c:lineChart>
      <c:catAx>
        <c:axId val="66360448"/>
        <c:scaling>
          <c:orientation val="minMax"/>
        </c:scaling>
        <c:axPos val="b"/>
        <c:numFmt formatCode="General" sourceLinked="1"/>
        <c:tickLblPos val="nextTo"/>
        <c:crossAx val="66361984"/>
        <c:crosses val="autoZero"/>
        <c:auto val="1"/>
        <c:lblAlgn val="ctr"/>
        <c:lblOffset val="100"/>
      </c:catAx>
      <c:valAx>
        <c:axId val="66361984"/>
        <c:scaling>
          <c:orientation val="minMax"/>
          <c:min val="-0.25"/>
        </c:scaling>
        <c:axPos val="l"/>
        <c:majorGridlines/>
        <c:numFmt formatCode="0%" sourceLinked="0"/>
        <c:tickLblPos val="nextTo"/>
        <c:crossAx val="66360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104775</xdr:rowOff>
    </xdr:from>
    <xdr:to>
      <xdr:col>13</xdr:col>
      <xdr:colOff>323850</xdr:colOff>
      <xdr:row>53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25"/>
  <sheetViews>
    <sheetView workbookViewId="0"/>
  </sheetViews>
  <sheetFormatPr defaultRowHeight="12.75"/>
  <cols>
    <col min="1" max="1" width="23.28515625" bestFit="1" customWidth="1"/>
    <col min="14" max="14" width="10.140625" bestFit="1" customWidth="1"/>
  </cols>
  <sheetData>
    <row r="1" spans="1:15" ht="18.75">
      <c r="A1" s="15" t="s">
        <v>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6" t="s">
        <v>5</v>
      </c>
      <c r="J2" s="6" t="s">
        <v>5</v>
      </c>
      <c r="N2" s="21"/>
      <c r="O2" s="21"/>
    </row>
    <row r="3" spans="1:15">
      <c r="A3" s="6" t="s">
        <v>5</v>
      </c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f>G3+1</f>
        <v>2006</v>
      </c>
      <c r="I3" s="6">
        <f t="shared" ref="I3:K3" si="0">H3+1</f>
        <v>2007</v>
      </c>
      <c r="J3">
        <f t="shared" si="0"/>
        <v>2008</v>
      </c>
      <c r="K3">
        <f t="shared" si="0"/>
        <v>2009</v>
      </c>
      <c r="L3">
        <v>2010</v>
      </c>
      <c r="M3" s="6" t="s">
        <v>5</v>
      </c>
      <c r="N3" s="6" t="s">
        <v>5</v>
      </c>
      <c r="O3" s="6" t="s">
        <v>5</v>
      </c>
    </row>
    <row r="4" spans="1:15">
      <c r="A4" t="s">
        <v>58</v>
      </c>
      <c r="B4" s="17">
        <f>(B16+B18+B20+B22+B24)/5</f>
        <v>452.77644380572758</v>
      </c>
      <c r="C4" s="17">
        <f t="shared" ref="C4:L4" si="1">(C16+C18+C20+C22+C24)/5</f>
        <v>401.29964777111019</v>
      </c>
      <c r="D4" s="17">
        <f t="shared" si="1"/>
        <v>387.50978864437531</v>
      </c>
      <c r="E4" s="17">
        <f t="shared" si="1"/>
        <v>386.05792149112102</v>
      </c>
      <c r="F4" s="17">
        <f t="shared" si="1"/>
        <v>424.56046577770519</v>
      </c>
      <c r="G4" s="17">
        <f t="shared" si="1"/>
        <v>471.3798188411929</v>
      </c>
      <c r="H4" s="17">
        <f t="shared" si="1"/>
        <v>487.75715664880352</v>
      </c>
      <c r="I4" s="17">
        <f t="shared" si="1"/>
        <v>515.29565650566678</v>
      </c>
      <c r="J4" s="17">
        <f t="shared" si="1"/>
        <v>497.24683322452546</v>
      </c>
      <c r="K4" s="17">
        <f t="shared" si="1"/>
        <v>390.93368235955904</v>
      </c>
      <c r="L4" s="17">
        <f t="shared" si="1"/>
        <v>397.12449390789834</v>
      </c>
      <c r="M4" s="7" t="s">
        <v>5</v>
      </c>
      <c r="N4" s="7" t="s">
        <v>5</v>
      </c>
      <c r="O4" s="7" t="s">
        <v>5</v>
      </c>
    </row>
    <row r="5" spans="1:15">
      <c r="A5" t="s">
        <v>59</v>
      </c>
      <c r="B5" s="17">
        <f>(B17+B19+B21+B23+B25)/5</f>
        <v>329.57559309141408</v>
      </c>
      <c r="C5" s="17">
        <f t="shared" ref="C5:L5" si="2">(C17+C19+C21+C23+C25)/5</f>
        <v>304.67366808222414</v>
      </c>
      <c r="D5" s="17">
        <f t="shared" si="2"/>
        <v>305.79232128259764</v>
      </c>
      <c r="E5" s="17">
        <f t="shared" si="2"/>
        <v>309.20094909909756</v>
      </c>
      <c r="F5" s="17">
        <f t="shared" si="2"/>
        <v>328.16745079757459</v>
      </c>
      <c r="G5" s="17">
        <f t="shared" si="2"/>
        <v>339.63818551960804</v>
      </c>
      <c r="H5" s="17">
        <f t="shared" si="2"/>
        <v>341.38109615496489</v>
      </c>
      <c r="I5" s="17">
        <f t="shared" si="2"/>
        <v>374.7709094803181</v>
      </c>
      <c r="J5" s="17">
        <f t="shared" si="2"/>
        <v>390.1692607779508</v>
      </c>
      <c r="K5" s="17">
        <f t="shared" si="2"/>
        <v>369.14665186727052</v>
      </c>
      <c r="L5" s="17">
        <f t="shared" si="2"/>
        <v>369.14492484125424</v>
      </c>
      <c r="N5" s="60" t="s">
        <v>63</v>
      </c>
      <c r="O5" s="59" t="s">
        <v>5</v>
      </c>
    </row>
    <row r="6" spans="1:15">
      <c r="A6" s="20" t="s">
        <v>60</v>
      </c>
      <c r="B6" s="7">
        <f>B4-B5</f>
        <v>123.2008507143135</v>
      </c>
      <c r="C6" s="7">
        <f t="shared" ref="C6:L6" si="3">C4-C5</f>
        <v>96.625979688886048</v>
      </c>
      <c r="D6" s="7">
        <f t="shared" si="3"/>
        <v>81.717467361777665</v>
      </c>
      <c r="E6" s="7">
        <f t="shared" si="3"/>
        <v>76.856972392023465</v>
      </c>
      <c r="F6" s="7">
        <f t="shared" si="3"/>
        <v>96.393014980130602</v>
      </c>
      <c r="G6" s="7">
        <f t="shared" si="3"/>
        <v>131.74163332158486</v>
      </c>
      <c r="H6" s="7">
        <f t="shared" si="3"/>
        <v>146.37606049383862</v>
      </c>
      <c r="I6" s="7">
        <f t="shared" si="3"/>
        <v>140.52474702534869</v>
      </c>
      <c r="J6" s="7">
        <f t="shared" si="3"/>
        <v>107.07757244657466</v>
      </c>
      <c r="K6" s="7">
        <f t="shared" si="3"/>
        <v>21.787030492288523</v>
      </c>
      <c r="L6" s="7">
        <f t="shared" si="3"/>
        <v>27.979569066644103</v>
      </c>
      <c r="M6" s="6" t="s">
        <v>45</v>
      </c>
      <c r="N6" s="6" t="s">
        <v>46</v>
      </c>
      <c r="O6" t="s">
        <v>62</v>
      </c>
    </row>
    <row r="7" spans="1:15">
      <c r="A7" s="6" t="str">
        <f>A12</f>
        <v>RevPAR Growth US</v>
      </c>
      <c r="C7" s="56">
        <f t="shared" ref="C7:L7" si="4">C12</f>
        <v>-7.0000000000000007E-2</v>
      </c>
      <c r="D7" s="56">
        <f t="shared" si="4"/>
        <v>-2.7E-2</v>
      </c>
      <c r="E7" s="56">
        <f t="shared" si="4"/>
        <v>5.0000000000000001E-3</v>
      </c>
      <c r="F7" s="56">
        <f t="shared" si="4"/>
        <v>7.9000000000000001E-2</v>
      </c>
      <c r="G7" s="56">
        <f t="shared" si="4"/>
        <v>8.5000000000000006E-2</v>
      </c>
      <c r="H7" s="56">
        <f t="shared" si="4"/>
        <v>7.8E-2</v>
      </c>
      <c r="I7" s="56">
        <f t="shared" si="4"/>
        <v>5.8000000000000003E-2</v>
      </c>
      <c r="J7" s="56">
        <f t="shared" si="4"/>
        <v>-1.7999999999999999E-2</v>
      </c>
      <c r="K7" s="56">
        <f t="shared" si="4"/>
        <v>-0.16400000000000001</v>
      </c>
      <c r="L7" s="56">
        <f t="shared" si="4"/>
        <v>-7.0000000000000007E-2</v>
      </c>
    </row>
    <row r="8" spans="1:15">
      <c r="A8" s="6" t="s">
        <v>75</v>
      </c>
      <c r="C8" s="56">
        <f>LN(C4/B4)</f>
        <v>-0.12069010258561445</v>
      </c>
      <c r="D8" s="56">
        <f t="shared" ref="D8:L9" si="5">LN(D4/C4)</f>
        <v>-3.4967290060759833E-2</v>
      </c>
      <c r="E8" s="56">
        <f t="shared" si="5"/>
        <v>-3.7536956080069404E-3</v>
      </c>
      <c r="F8" s="56">
        <f t="shared" si="5"/>
        <v>9.5067021718299893E-2</v>
      </c>
      <c r="G8" s="56">
        <f t="shared" si="5"/>
        <v>0.1046097428699309</v>
      </c>
      <c r="H8" s="56">
        <f t="shared" si="5"/>
        <v>3.4153473703997267E-2</v>
      </c>
      <c r="I8" s="56">
        <f t="shared" si="5"/>
        <v>5.492317406289516E-2</v>
      </c>
      <c r="J8" s="56">
        <f t="shared" si="5"/>
        <v>-3.5654277103533208E-2</v>
      </c>
      <c r="K8" s="56">
        <f t="shared" si="5"/>
        <v>-0.2405486138693754</v>
      </c>
      <c r="L8" s="56">
        <f t="shared" si="5"/>
        <v>1.5711882932638442E-2</v>
      </c>
      <c r="M8" s="18">
        <f>AVERAGE(C8:L8)</f>
        <v>-1.311486839395282E-2</v>
      </c>
      <c r="N8" s="18">
        <f>STDEV(C8:L8)</f>
        <v>0.10415190980783032</v>
      </c>
      <c r="O8" s="18">
        <f>CORREL(C9:L9,C8:L8)</f>
        <v>0.78298966674608472</v>
      </c>
    </row>
    <row r="9" spans="1:15">
      <c r="A9" s="54" t="s">
        <v>66</v>
      </c>
      <c r="B9" s="22"/>
      <c r="C9" s="18">
        <f>LN(C5/B5)</f>
        <v>-7.8564482108525582E-2</v>
      </c>
      <c r="D9" s="18">
        <f t="shared" si="5"/>
        <v>3.6649198218206389E-3</v>
      </c>
      <c r="E9" s="18">
        <f t="shared" si="5"/>
        <v>1.1085203319879793E-2</v>
      </c>
      <c r="F9" s="18">
        <f t="shared" si="5"/>
        <v>5.9532612597167876E-2</v>
      </c>
      <c r="G9" s="18">
        <f t="shared" si="5"/>
        <v>3.4356891916149615E-2</v>
      </c>
      <c r="H9" s="18">
        <f t="shared" si="5"/>
        <v>5.1185465302962972E-3</v>
      </c>
      <c r="I9" s="18">
        <f t="shared" si="5"/>
        <v>9.3315493954034726E-2</v>
      </c>
      <c r="J9" s="18">
        <f t="shared" si="5"/>
        <v>4.0265715729244381E-2</v>
      </c>
      <c r="K9" s="18">
        <f t="shared" si="5"/>
        <v>-5.5386651346273075E-2</v>
      </c>
      <c r="L9" s="18">
        <f t="shared" si="5"/>
        <v>-4.6784389008060629E-6</v>
      </c>
      <c r="M9" s="18">
        <f>AVERAGE(C9:L9)</f>
        <v>1.1338357197489388E-2</v>
      </c>
      <c r="N9" s="18">
        <f>STDEV(C9:L9)</f>
        <v>5.0739668600531841E-2</v>
      </c>
    </row>
    <row r="10" spans="1:15">
      <c r="A10" s="53" t="s">
        <v>65</v>
      </c>
      <c r="C10" s="2">
        <f t="shared" ref="C10:L10" si="6">EXP(C8-C12+LN(B4))</f>
        <v>430.39715536895136</v>
      </c>
      <c r="D10" s="2">
        <f t="shared" si="6"/>
        <v>398.11508010891606</v>
      </c>
      <c r="E10" s="2">
        <f t="shared" si="6"/>
        <v>384.13244957485415</v>
      </c>
      <c r="F10" s="2">
        <f t="shared" si="6"/>
        <v>392.31082071960128</v>
      </c>
      <c r="G10" s="2">
        <f t="shared" si="6"/>
        <v>432.96815422456916</v>
      </c>
      <c r="H10" s="2">
        <f t="shared" si="6"/>
        <v>451.15801869216779</v>
      </c>
      <c r="I10" s="2">
        <f t="shared" si="6"/>
        <v>486.25871917598334</v>
      </c>
      <c r="J10" s="2">
        <f t="shared" si="6"/>
        <v>506.27831571628201</v>
      </c>
      <c r="K10" s="2">
        <f t="shared" si="6"/>
        <v>460.60366080794341</v>
      </c>
      <c r="L10" s="2">
        <f t="shared" si="6"/>
        <v>425.91926869266132</v>
      </c>
    </row>
    <row r="11" spans="1:15" ht="15.75">
      <c r="A11" s="50" t="s">
        <v>0</v>
      </c>
      <c r="B11" s="51">
        <v>5.3999999999999999E-2</v>
      </c>
      <c r="C11" s="52">
        <v>-1.4E-2</v>
      </c>
      <c r="D11" s="52">
        <v>-1.4999999999999999E-2</v>
      </c>
      <c r="E11" s="51">
        <v>2E-3</v>
      </c>
      <c r="F11" s="51">
        <v>4.2000000000000003E-2</v>
      </c>
      <c r="G11" s="51">
        <v>5.5E-2</v>
      </c>
      <c r="H11" s="51">
        <v>7.4999999999999997E-2</v>
      </c>
      <c r="I11" s="51">
        <v>6.2E-2</v>
      </c>
      <c r="J11" s="51">
        <v>2.7E-2</v>
      </c>
      <c r="K11" s="52">
        <v>-8.7999999999999995E-2</v>
      </c>
      <c r="L11" s="52">
        <v>-1.7999999999999999E-2</v>
      </c>
      <c r="M11" s="6" t="s">
        <v>73</v>
      </c>
    </row>
    <row r="12" spans="1:15">
      <c r="A12" s="6" t="s">
        <v>74</v>
      </c>
      <c r="B12" s="56" t="s">
        <v>5</v>
      </c>
      <c r="C12" s="11">
        <v>-7.0000000000000007E-2</v>
      </c>
      <c r="D12" s="11">
        <v>-2.7E-2</v>
      </c>
      <c r="E12" s="11">
        <v>5.0000000000000001E-3</v>
      </c>
      <c r="F12" s="11">
        <v>7.9000000000000001E-2</v>
      </c>
      <c r="G12" s="11">
        <v>8.5000000000000006E-2</v>
      </c>
      <c r="H12" s="11">
        <v>7.8E-2</v>
      </c>
      <c r="I12" s="11">
        <v>5.8000000000000003E-2</v>
      </c>
      <c r="J12" s="11">
        <v>-1.7999999999999999E-2</v>
      </c>
      <c r="K12" s="11">
        <v>-0.16400000000000001</v>
      </c>
      <c r="L12" s="11">
        <v>-7.0000000000000007E-2</v>
      </c>
      <c r="M12" s="18">
        <f>AVERAGE(C12:L12)</f>
        <v>-4.3999999999999985E-3</v>
      </c>
      <c r="N12" s="18">
        <f>STDEV(C12:L12)</f>
        <v>8.1985364547582512E-2</v>
      </c>
    </row>
    <row r="13" spans="1:15">
      <c r="A13" s="6" t="s">
        <v>64</v>
      </c>
      <c r="C13" s="11">
        <f t="shared" ref="C13:L13" si="7">C8/C12</f>
        <v>1.7241443226516349</v>
      </c>
      <c r="D13" s="11">
        <f t="shared" si="7"/>
        <v>1.295084817065179</v>
      </c>
      <c r="E13" s="58">
        <f t="shared" si="7"/>
        <v>-0.75073912160138812</v>
      </c>
      <c r="F13" s="11">
        <f t="shared" si="7"/>
        <v>1.2033800217506316</v>
      </c>
      <c r="G13" s="11">
        <f t="shared" si="7"/>
        <v>1.2307028572933045</v>
      </c>
      <c r="H13" s="11">
        <f t="shared" si="7"/>
        <v>0.43786504748714444</v>
      </c>
      <c r="I13" s="11">
        <f t="shared" si="7"/>
        <v>0.94695127694646819</v>
      </c>
      <c r="J13" s="11">
        <f t="shared" si="7"/>
        <v>1.9807931724185117</v>
      </c>
      <c r="K13" s="11">
        <f t="shared" si="7"/>
        <v>1.4667598406669231</v>
      </c>
      <c r="L13" s="11">
        <f t="shared" si="7"/>
        <v>-0.22445547046626343</v>
      </c>
    </row>
    <row r="14" spans="1:15">
      <c r="A14" s="6" t="s">
        <v>5</v>
      </c>
    </row>
    <row r="16" spans="1:15">
      <c r="A16" t="s">
        <v>58</v>
      </c>
      <c r="B16" s="2">
        <v>580.31723143475131</v>
      </c>
      <c r="C16" s="2">
        <v>461.7159336697909</v>
      </c>
      <c r="D16" s="2">
        <v>454.77048786349434</v>
      </c>
      <c r="E16" s="2">
        <v>434.65513097813027</v>
      </c>
      <c r="F16" s="2">
        <v>477.81783225186251</v>
      </c>
      <c r="G16" s="2">
        <v>524.03268445085314</v>
      </c>
      <c r="H16" s="2">
        <v>533.9822158135064</v>
      </c>
      <c r="I16" s="2">
        <v>579.76447969238166</v>
      </c>
      <c r="J16" s="2">
        <v>540.28302020159174</v>
      </c>
      <c r="K16" s="2">
        <v>412.37683249218935</v>
      </c>
      <c r="L16" s="2">
        <v>421.60538332131699</v>
      </c>
      <c r="M16" s="6" t="s">
        <v>69</v>
      </c>
    </row>
    <row r="17" spans="1:13">
      <c r="A17" t="s">
        <v>59</v>
      </c>
      <c r="B17" s="2">
        <v>428.40663302090843</v>
      </c>
      <c r="C17" s="2">
        <v>399.01465993751503</v>
      </c>
      <c r="D17" s="2">
        <v>405.21509252583513</v>
      </c>
      <c r="E17" s="2">
        <v>397.76496034607067</v>
      </c>
      <c r="F17" s="2">
        <v>419.41840903628935</v>
      </c>
      <c r="G17" s="2">
        <v>418.33693823600095</v>
      </c>
      <c r="H17" s="2">
        <v>417.39966354241767</v>
      </c>
      <c r="I17" s="2">
        <v>443.47512617159339</v>
      </c>
      <c r="J17" s="2">
        <v>483.45278991192725</v>
      </c>
      <c r="K17" s="2">
        <v>468.32492189377552</v>
      </c>
      <c r="L17" s="2">
        <v>461.37947608747896</v>
      </c>
    </row>
    <row r="18" spans="1:13">
      <c r="A18" t="s">
        <v>58</v>
      </c>
      <c r="B18" s="2">
        <v>412.14938030006522</v>
      </c>
      <c r="C18" s="2">
        <v>323.28767123287673</v>
      </c>
      <c r="D18" s="2">
        <v>297.16242661448143</v>
      </c>
      <c r="E18" s="2">
        <v>276.41878669275928</v>
      </c>
      <c r="F18" s="2">
        <v>315.41095890410958</v>
      </c>
      <c r="G18" s="2">
        <v>362.67123287671234</v>
      </c>
      <c r="H18" s="2">
        <v>394.83039791258972</v>
      </c>
      <c r="I18" s="2">
        <v>350.90748628218415</v>
      </c>
      <c r="J18" s="2">
        <v>318.39530332681016</v>
      </c>
      <c r="K18" s="2">
        <v>332.27332028701892</v>
      </c>
      <c r="L18" s="2">
        <v>341.96020874103067</v>
      </c>
      <c r="M18" s="6" t="s">
        <v>70</v>
      </c>
    </row>
    <row r="19" spans="1:13">
      <c r="A19" t="s">
        <v>59</v>
      </c>
      <c r="B19" s="2">
        <v>293.33007175472926</v>
      </c>
      <c r="C19" s="2">
        <v>275.09784735812133</v>
      </c>
      <c r="D19" s="2">
        <v>261.51337247227656</v>
      </c>
      <c r="E19" s="2">
        <v>250.44031311154598</v>
      </c>
      <c r="F19" s="2">
        <v>272.42335290280494</v>
      </c>
      <c r="G19" s="2">
        <v>287.73646444879324</v>
      </c>
      <c r="H19" s="2">
        <v>301.45140247879976</v>
      </c>
      <c r="I19" s="2">
        <v>324.37358505045853</v>
      </c>
      <c r="J19" s="2">
        <v>278.21265492498367</v>
      </c>
      <c r="K19" s="2">
        <v>390.67188519243314</v>
      </c>
      <c r="L19" s="2">
        <v>388.66601435094583</v>
      </c>
    </row>
    <row r="20" spans="1:13">
      <c r="A20" t="s">
        <v>58</v>
      </c>
      <c r="B20" s="2">
        <v>132.06694918038173</v>
      </c>
      <c r="C20" s="2">
        <v>203.05180513123747</v>
      </c>
      <c r="D20" s="2">
        <v>194.61252915475839</v>
      </c>
      <c r="E20" s="2">
        <v>192.24072796557275</v>
      </c>
      <c r="F20" s="2">
        <v>223.2679609736868</v>
      </c>
      <c r="G20" s="2">
        <v>265.73699944154265</v>
      </c>
      <c r="H20" s="2">
        <v>289.35646003744949</v>
      </c>
      <c r="I20" s="2">
        <v>332.67960973686803</v>
      </c>
      <c r="J20" s="2">
        <v>321.24108932032459</v>
      </c>
      <c r="K20" s="2">
        <v>215.70579153115864</v>
      </c>
      <c r="L20" s="2">
        <v>239.1642850103479</v>
      </c>
      <c r="M20" s="6" t="s">
        <v>68</v>
      </c>
    </row>
    <row r="21" spans="1:13">
      <c r="A21" t="s">
        <v>59</v>
      </c>
      <c r="B21" s="2">
        <v>146.33060674747873</v>
      </c>
      <c r="C21" s="2">
        <v>157.37984954502153</v>
      </c>
      <c r="D21" s="2">
        <v>152.75779376498801</v>
      </c>
      <c r="E21" s="2">
        <v>158.67087152196052</v>
      </c>
      <c r="F21" s="2">
        <v>175.16178837751715</v>
      </c>
      <c r="G21" s="2">
        <v>184.4124700239808</v>
      </c>
      <c r="H21" s="2">
        <v>178.29900463191092</v>
      </c>
      <c r="I21" s="2">
        <v>211.79002003876352</v>
      </c>
      <c r="J21" s="2">
        <v>213.21244374363522</v>
      </c>
      <c r="K21" s="2">
        <v>194.91475312900366</v>
      </c>
      <c r="L21" s="2">
        <v>207.74613186163398</v>
      </c>
    </row>
    <row r="22" spans="1:13">
      <c r="A22" t="s">
        <v>58</v>
      </c>
      <c r="B22" s="2">
        <v>651.50402485524648</v>
      </c>
      <c r="C22" s="2">
        <v>617.61050699053806</v>
      </c>
      <c r="D22" s="2">
        <v>597.75455444146303</v>
      </c>
      <c r="E22" s="2">
        <v>615.83109730264084</v>
      </c>
      <c r="F22" s="2">
        <v>647.46504730970207</v>
      </c>
      <c r="G22" s="2">
        <v>701.66643129501483</v>
      </c>
      <c r="H22" s="2">
        <v>712.22991102951562</v>
      </c>
      <c r="I22" s="2">
        <v>799.36449654003673</v>
      </c>
      <c r="J22" s="2">
        <v>877.20660923598359</v>
      </c>
      <c r="K22" s="2">
        <v>632.8767123287671</v>
      </c>
      <c r="L22" s="2">
        <v>616.12766558395708</v>
      </c>
      <c r="M22" s="6" t="s">
        <v>71</v>
      </c>
    </row>
    <row r="23" spans="1:13">
      <c r="A23" t="s">
        <v>59</v>
      </c>
      <c r="B23" s="2">
        <v>422.77926846490607</v>
      </c>
      <c r="C23" s="2">
        <v>384.69142776444005</v>
      </c>
      <c r="D23" s="2">
        <v>398.67250388363226</v>
      </c>
      <c r="E23" s="2">
        <v>416.77729134303064</v>
      </c>
      <c r="F23" s="2">
        <v>440.10732947323822</v>
      </c>
      <c r="G23" s="2">
        <v>477.44668832085864</v>
      </c>
      <c r="H23" s="2">
        <v>484.86089535376357</v>
      </c>
      <c r="I23" s="2">
        <v>547.25321282304765</v>
      </c>
      <c r="J23" s="2">
        <v>610.05507696653012</v>
      </c>
      <c r="K23" s="2">
        <v>477.19248693687331</v>
      </c>
      <c r="L23" s="2">
        <v>481.37268747352067</v>
      </c>
    </row>
    <row r="24" spans="1:13">
      <c r="A24" t="s">
        <v>58</v>
      </c>
      <c r="B24" s="2">
        <v>487.84463325819314</v>
      </c>
      <c r="C24" s="2">
        <v>400.832321831108</v>
      </c>
      <c r="D24" s="2">
        <v>393.24894514767931</v>
      </c>
      <c r="E24" s="2">
        <v>411.14386451650194</v>
      </c>
      <c r="F24" s="2">
        <v>458.84052944916476</v>
      </c>
      <c r="G24" s="2">
        <v>502.79174614184149</v>
      </c>
      <c r="H24" s="2">
        <v>508.38679845095658</v>
      </c>
      <c r="I24" s="2">
        <v>513.76221027686256</v>
      </c>
      <c r="J24" s="2">
        <v>429.10814403791687</v>
      </c>
      <c r="K24" s="2">
        <v>361.43575515866132</v>
      </c>
      <c r="L24" s="2">
        <v>366.76492688283912</v>
      </c>
      <c r="M24" s="6" t="s">
        <v>67</v>
      </c>
    </row>
    <row r="25" spans="1:13">
      <c r="A25" t="s">
        <v>59</v>
      </c>
      <c r="B25" s="2">
        <v>357.03138546904802</v>
      </c>
      <c r="C25" s="2">
        <v>307.18455580602279</v>
      </c>
      <c r="D25" s="2">
        <v>310.80284376625627</v>
      </c>
      <c r="E25" s="2">
        <v>322.35130917288018</v>
      </c>
      <c r="F25" s="2">
        <v>333.72637419802322</v>
      </c>
      <c r="G25" s="2">
        <v>330.25836656840647</v>
      </c>
      <c r="H25" s="2">
        <v>324.89451476793249</v>
      </c>
      <c r="I25" s="2">
        <v>346.96260331772731</v>
      </c>
      <c r="J25" s="2">
        <v>365.91333834267766</v>
      </c>
      <c r="K25" s="2">
        <v>314.62921218426681</v>
      </c>
      <c r="L25" s="2">
        <v>306.56031443269177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K49"/>
  <sheetViews>
    <sheetView workbookViewId="0">
      <selection sqref="A1:K49"/>
    </sheetView>
  </sheetViews>
  <sheetFormatPr defaultRowHeight="12.75"/>
  <cols>
    <col min="1" max="1" width="11.28515625" bestFit="1" customWidth="1"/>
    <col min="2" max="2" width="15.7109375" customWidth="1"/>
    <col min="3" max="3" width="11.7109375" customWidth="1"/>
    <col min="4" max="5" width="7.7109375" customWidth="1"/>
    <col min="6" max="6" width="9" customWidth="1"/>
    <col min="7" max="7" width="7.7109375" customWidth="1"/>
    <col min="8" max="8" width="7.85546875" customWidth="1"/>
    <col min="9" max="9" width="10" customWidth="1"/>
    <col min="10" max="10" width="8.42578125" customWidth="1"/>
    <col min="11" max="11" width="8.85546875" customWidth="1"/>
  </cols>
  <sheetData>
    <row r="1" spans="1:11" ht="15.75">
      <c r="A1" s="71" t="s">
        <v>90</v>
      </c>
      <c r="B1" s="72"/>
      <c r="C1" s="72"/>
      <c r="D1" s="72"/>
      <c r="E1" s="72"/>
      <c r="F1" s="72"/>
      <c r="G1" s="72"/>
      <c r="H1" s="73"/>
      <c r="I1" s="72"/>
      <c r="J1" s="72"/>
      <c r="K1" s="74"/>
    </row>
    <row r="2" spans="1:11" ht="15.75">
      <c r="A2" s="23" t="s">
        <v>1</v>
      </c>
      <c r="B2" s="24" t="s">
        <v>15</v>
      </c>
      <c r="C2" s="25"/>
      <c r="D2" s="25"/>
      <c r="E2" s="25"/>
      <c r="F2" s="25"/>
      <c r="G2" s="25"/>
      <c r="H2" s="70"/>
      <c r="I2" s="25"/>
      <c r="J2" s="25"/>
      <c r="K2" s="26"/>
    </row>
    <row r="3" spans="1:11" ht="15.75">
      <c r="A3" s="27" t="s">
        <v>79</v>
      </c>
      <c r="B3" s="63">
        <f>FIVE!H4</f>
        <v>487.75715664880352</v>
      </c>
      <c r="C3" s="28" t="s">
        <v>76</v>
      </c>
      <c r="D3" s="25"/>
      <c r="E3" s="25"/>
      <c r="F3" s="25"/>
      <c r="G3" s="25"/>
      <c r="H3" s="25"/>
      <c r="I3" s="25"/>
      <c r="J3" s="25"/>
      <c r="K3" s="26"/>
    </row>
    <row r="4" spans="1:11" ht="15.75">
      <c r="A4" s="27" t="s">
        <v>21</v>
      </c>
      <c r="B4" s="63">
        <f>FIVE!H5</f>
        <v>341.38109615496489</v>
      </c>
      <c r="C4" s="28" t="s">
        <v>77</v>
      </c>
      <c r="D4" s="25"/>
      <c r="E4" s="25"/>
      <c r="F4" s="25"/>
      <c r="G4" s="25"/>
      <c r="H4" s="25"/>
      <c r="I4" s="25"/>
      <c r="J4" s="25"/>
      <c r="K4" s="26"/>
    </row>
    <row r="5" spans="1:11">
      <c r="A5" s="23" t="s">
        <v>2</v>
      </c>
      <c r="B5" s="29">
        <f>336.41</f>
        <v>336.41</v>
      </c>
      <c r="C5" s="28" t="s">
        <v>5</v>
      </c>
      <c r="D5" s="25"/>
      <c r="H5" s="25"/>
      <c r="I5" s="25"/>
      <c r="J5" s="28" t="s">
        <v>5</v>
      </c>
      <c r="K5" s="61" t="s">
        <v>5</v>
      </c>
    </row>
    <row r="6" spans="1:11">
      <c r="A6" s="27" t="s">
        <v>7</v>
      </c>
      <c r="B6" s="29">
        <f>B22</f>
        <v>380.04707896007397</v>
      </c>
      <c r="C6" s="28" t="s">
        <v>5</v>
      </c>
      <c r="D6" s="25"/>
      <c r="H6" s="30" t="s">
        <v>5</v>
      </c>
      <c r="I6" s="25"/>
      <c r="J6" s="25"/>
      <c r="K6" s="26"/>
    </row>
    <row r="7" spans="1:11" ht="14.25">
      <c r="A7" s="31" t="s">
        <v>81</v>
      </c>
      <c r="B7" s="29">
        <v>0</v>
      </c>
      <c r="H7" s="25"/>
      <c r="I7" s="25"/>
      <c r="J7" s="25"/>
      <c r="K7" s="26"/>
    </row>
    <row r="8" spans="1:11" ht="14.25">
      <c r="A8" s="31" t="s">
        <v>22</v>
      </c>
      <c r="B8" s="29">
        <v>0</v>
      </c>
      <c r="C8" s="25"/>
      <c r="D8" s="25"/>
      <c r="I8" s="25"/>
      <c r="J8" s="25"/>
      <c r="K8" s="26"/>
    </row>
    <row r="9" spans="1:11">
      <c r="A9" s="31" t="s">
        <v>3</v>
      </c>
      <c r="B9" s="29">
        <v>0</v>
      </c>
      <c r="C9" s="25"/>
      <c r="D9" s="25"/>
      <c r="H9" s="25"/>
      <c r="I9" s="25"/>
      <c r="J9" s="25"/>
      <c r="K9" s="26"/>
    </row>
    <row r="10" spans="1:11">
      <c r="A10" s="32" t="s">
        <v>3</v>
      </c>
      <c r="B10" s="29">
        <v>0.1</v>
      </c>
      <c r="C10" s="25"/>
      <c r="D10" s="25"/>
      <c r="G10" s="25"/>
      <c r="H10" s="25"/>
      <c r="I10" s="25"/>
      <c r="J10" s="25"/>
      <c r="K10" s="26"/>
    </row>
    <row r="11" spans="1:11" ht="14.25">
      <c r="A11" s="31" t="s">
        <v>80</v>
      </c>
      <c r="B11" s="33">
        <f>FIVE!M8</f>
        <v>-1.311486839395282E-2</v>
      </c>
      <c r="C11" s="28" t="s">
        <v>5</v>
      </c>
      <c r="D11" s="25"/>
      <c r="G11" s="25"/>
      <c r="H11" s="25"/>
      <c r="I11" s="25"/>
      <c r="J11" s="25"/>
      <c r="K11" s="26"/>
    </row>
    <row r="12" spans="1:11" ht="14.25">
      <c r="A12" s="31" t="s">
        <v>23</v>
      </c>
      <c r="B12" s="33">
        <f>FIVE!M9</f>
        <v>1.1338357197489388E-2</v>
      </c>
      <c r="C12" s="25"/>
      <c r="D12" s="25"/>
      <c r="E12" s="53" t="s">
        <v>5</v>
      </c>
      <c r="F12" s="53" t="s">
        <v>5</v>
      </c>
      <c r="G12" s="25"/>
      <c r="H12" s="25"/>
      <c r="I12" s="25"/>
      <c r="J12" s="25"/>
      <c r="K12" s="26"/>
    </row>
    <row r="13" spans="1:11">
      <c r="A13" s="31"/>
      <c r="B13" s="29"/>
      <c r="C13" s="25"/>
      <c r="D13" s="25"/>
      <c r="E13" s="53" t="s">
        <v>5</v>
      </c>
      <c r="F13" s="35" t="s">
        <v>5</v>
      </c>
      <c r="G13" s="25"/>
      <c r="H13" s="25"/>
      <c r="I13" s="25"/>
      <c r="J13" s="25"/>
      <c r="K13" s="26"/>
    </row>
    <row r="14" spans="1:11">
      <c r="A14" s="34" t="s">
        <v>4</v>
      </c>
      <c r="B14" s="29"/>
      <c r="C14" s="25"/>
      <c r="D14" s="25"/>
      <c r="E14" s="53" t="s">
        <v>5</v>
      </c>
      <c r="F14" s="62" t="s">
        <v>5</v>
      </c>
      <c r="G14" s="25"/>
      <c r="H14" s="25"/>
      <c r="I14" s="25"/>
      <c r="J14" s="25"/>
      <c r="K14" s="26"/>
    </row>
    <row r="15" spans="1:11">
      <c r="A15" s="34" t="s">
        <v>8</v>
      </c>
      <c r="B15" s="35">
        <f>B11*B19+B12*B20-B10</f>
        <v>-5.3013149425851225E-15</v>
      </c>
      <c r="C15" s="35" t="s">
        <v>5</v>
      </c>
      <c r="D15" s="25"/>
      <c r="E15" s="25"/>
      <c r="F15" s="7" t="s">
        <v>5</v>
      </c>
      <c r="G15" s="25"/>
      <c r="H15" s="25"/>
      <c r="I15" s="25"/>
      <c r="J15" s="25"/>
      <c r="K15" s="26"/>
    </row>
    <row r="16" spans="1:11">
      <c r="A16" s="34" t="s">
        <v>12</v>
      </c>
      <c r="B16" s="35">
        <f>((B3/B21)^B19)*((B4/B22)^B20)-EXP(-B10*B23)</f>
        <v>2.170486013142181E-14</v>
      </c>
      <c r="C16" s="35" t="s">
        <v>5</v>
      </c>
      <c r="D16" s="25"/>
      <c r="E16" s="25"/>
      <c r="F16" s="25"/>
      <c r="G16" s="25"/>
      <c r="H16" s="25"/>
      <c r="I16" s="25"/>
      <c r="J16" s="25"/>
      <c r="K16" s="26"/>
    </row>
    <row r="17" spans="1:11">
      <c r="A17" s="34" t="s">
        <v>18</v>
      </c>
      <c r="B17" s="35">
        <f>B35-B36-B37</f>
        <v>-7.3896444519050419E-13</v>
      </c>
      <c r="C17" s="35" t="s">
        <v>5</v>
      </c>
      <c r="D17" s="25"/>
      <c r="E17" s="25"/>
      <c r="F17" s="25"/>
      <c r="G17" s="25"/>
      <c r="H17" s="25"/>
      <c r="I17" s="25"/>
      <c r="J17" s="25"/>
      <c r="K17" s="26"/>
    </row>
    <row r="18" spans="1:11">
      <c r="A18" s="23" t="s">
        <v>11</v>
      </c>
      <c r="B18" s="33">
        <f t="array" ref="B18">SUM(ABS(B15:B17))</f>
        <v>7.6597062026451113E-13</v>
      </c>
      <c r="C18" s="25"/>
      <c r="D18" s="25"/>
      <c r="E18" s="25"/>
      <c r="F18" s="25"/>
      <c r="G18" s="25"/>
      <c r="H18" s="25"/>
      <c r="I18" s="25"/>
      <c r="J18" s="25"/>
      <c r="K18" s="26"/>
    </row>
    <row r="19" spans="1:11">
      <c r="A19" s="31" t="s">
        <v>19</v>
      </c>
      <c r="B19" s="35">
        <v>-2.6715516164060009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1:11">
      <c r="A20" s="31" t="s">
        <v>20</v>
      </c>
      <c r="B20" s="35">
        <v>5.7294854105992181</v>
      </c>
      <c r="C20" s="25"/>
      <c r="D20" s="25"/>
      <c r="E20" s="25"/>
      <c r="F20" s="25"/>
      <c r="G20" s="25"/>
      <c r="H20" s="25"/>
      <c r="I20" s="25"/>
      <c r="J20" s="25"/>
      <c r="K20" s="26"/>
    </row>
    <row r="21" spans="1:11">
      <c r="A21" s="27" t="s">
        <v>83</v>
      </c>
      <c r="B21" s="38">
        <v>430.82875786015393</v>
      </c>
      <c r="C21" s="28" t="s">
        <v>5</v>
      </c>
      <c r="D21" s="25"/>
      <c r="E21" s="25"/>
      <c r="F21" s="25"/>
      <c r="G21" s="25"/>
      <c r="H21" s="25"/>
      <c r="I21" s="25"/>
      <c r="J21" s="25"/>
      <c r="K21" s="26"/>
    </row>
    <row r="22" spans="1:11">
      <c r="A22" s="27" t="s">
        <v>7</v>
      </c>
      <c r="B22" s="37">
        <v>380.04707896007397</v>
      </c>
      <c r="C22" s="28"/>
      <c r="D22" s="25"/>
      <c r="E22" s="25"/>
      <c r="F22" s="25"/>
      <c r="G22" s="25"/>
      <c r="H22" s="25"/>
      <c r="I22" s="25"/>
      <c r="J22" s="25"/>
      <c r="K22" s="26"/>
    </row>
    <row r="23" spans="1:11" ht="15.75">
      <c r="A23" s="27" t="s">
        <v>24</v>
      </c>
      <c r="B23" s="36">
        <f>(1/B12)*(LN(B22/B4))</f>
        <v>9.4630728150698253</v>
      </c>
      <c r="C23" s="36" t="s">
        <v>5</v>
      </c>
      <c r="D23" s="25"/>
      <c r="E23" s="25"/>
      <c r="F23" s="25"/>
      <c r="G23" s="25"/>
      <c r="H23" s="25"/>
      <c r="I23" s="25"/>
      <c r="J23" s="25"/>
      <c r="K23" s="26"/>
    </row>
    <row r="24" spans="1:11" ht="15.75">
      <c r="A24" s="27" t="s">
        <v>84</v>
      </c>
      <c r="B24" s="38">
        <f>(1/B11)*(LN(B21/B3))</f>
        <v>9.4630728150696761</v>
      </c>
      <c r="C24" s="38" t="s">
        <v>5</v>
      </c>
      <c r="D24" s="25"/>
      <c r="E24" s="25"/>
      <c r="F24" s="25"/>
      <c r="G24" s="25"/>
      <c r="H24" s="25"/>
      <c r="I24" s="25"/>
      <c r="J24" s="25"/>
      <c r="K24" s="26"/>
    </row>
    <row r="25" spans="1:11">
      <c r="A25" s="27" t="s">
        <v>85</v>
      </c>
      <c r="B25" s="38">
        <f>B21-B22</f>
        <v>50.781678900079953</v>
      </c>
      <c r="C25" s="28"/>
      <c r="D25" s="25"/>
      <c r="E25" s="25"/>
      <c r="F25" s="25"/>
      <c r="G25" s="25"/>
      <c r="H25" s="25"/>
      <c r="I25" s="25"/>
      <c r="J25" s="25"/>
      <c r="K25" s="26"/>
    </row>
    <row r="26" spans="1:11">
      <c r="A26" s="23"/>
      <c r="B26" s="25"/>
      <c r="C26" s="28"/>
      <c r="D26" s="25"/>
      <c r="E26" s="25"/>
      <c r="F26" s="25"/>
      <c r="G26" s="25"/>
      <c r="H26" s="25"/>
      <c r="I26" s="25"/>
      <c r="J26" s="25"/>
      <c r="K26" s="26"/>
    </row>
    <row r="27" spans="1:11">
      <c r="A27" s="27" t="str">
        <f>B2</f>
        <v>Deterministic</v>
      </c>
      <c r="B27" s="38"/>
      <c r="C27" s="28"/>
      <c r="D27" s="25"/>
      <c r="E27" s="25"/>
      <c r="F27" s="25"/>
      <c r="G27" s="25"/>
      <c r="H27" s="25"/>
      <c r="I27" s="25"/>
      <c r="J27" s="25"/>
      <c r="K27" s="26"/>
    </row>
    <row r="28" spans="1:11">
      <c r="A28" s="34" t="s">
        <v>8</v>
      </c>
      <c r="B28" s="35" t="s">
        <v>36</v>
      </c>
      <c r="C28" s="28"/>
      <c r="D28" s="25"/>
      <c r="E28" s="25"/>
      <c r="F28" s="28" t="s">
        <v>133</v>
      </c>
      <c r="G28" s="25"/>
      <c r="H28" s="25"/>
      <c r="I28" s="25"/>
      <c r="J28" s="25"/>
      <c r="K28" s="26"/>
    </row>
    <row r="29" spans="1:11">
      <c r="A29" s="34" t="s">
        <v>12</v>
      </c>
      <c r="B29" s="35" t="s">
        <v>43</v>
      </c>
      <c r="C29" s="28"/>
      <c r="D29" s="25"/>
      <c r="E29" s="25"/>
      <c r="F29" s="28" t="s">
        <v>89</v>
      </c>
      <c r="G29" s="25"/>
      <c r="H29" s="25"/>
      <c r="I29" s="25"/>
      <c r="J29" s="25"/>
      <c r="K29" s="26"/>
    </row>
    <row r="30" spans="1:11">
      <c r="A30" s="34" t="s">
        <v>18</v>
      </c>
      <c r="B30" s="35" t="s">
        <v>42</v>
      </c>
      <c r="C30" s="25"/>
      <c r="D30" s="25"/>
      <c r="E30" s="25"/>
      <c r="F30" s="28" t="s">
        <v>134</v>
      </c>
      <c r="G30" s="25"/>
      <c r="H30" s="25"/>
      <c r="I30" s="25"/>
      <c r="J30" s="25"/>
      <c r="K30" s="26"/>
    </row>
    <row r="31" spans="1:11">
      <c r="A31" s="34" t="s">
        <v>14</v>
      </c>
      <c r="B31" s="35" t="s">
        <v>37</v>
      </c>
      <c r="C31" s="25"/>
      <c r="D31" s="25"/>
      <c r="E31" s="25"/>
      <c r="F31" s="25"/>
      <c r="G31" s="25"/>
      <c r="H31" s="25"/>
      <c r="I31" s="25"/>
      <c r="J31" s="25"/>
      <c r="K31" s="26"/>
    </row>
    <row r="32" spans="1:11" ht="15.75">
      <c r="A32" s="27" t="s">
        <v>24</v>
      </c>
      <c r="B32" s="38" t="s">
        <v>38</v>
      </c>
      <c r="C32" s="25"/>
      <c r="D32" s="25"/>
      <c r="E32" s="25"/>
      <c r="F32" s="28" t="s">
        <v>88</v>
      </c>
      <c r="G32" s="25"/>
      <c r="H32" s="25"/>
      <c r="I32" s="25"/>
      <c r="J32" s="25"/>
      <c r="K32" s="26"/>
    </row>
    <row r="33" spans="1:11" ht="15.75">
      <c r="A33" s="27" t="s">
        <v>84</v>
      </c>
      <c r="B33" s="38" t="s">
        <v>39</v>
      </c>
      <c r="C33" s="25"/>
      <c r="D33" s="25"/>
      <c r="E33" s="25"/>
      <c r="F33" s="28" t="s">
        <v>88</v>
      </c>
      <c r="G33" s="25"/>
      <c r="H33" s="25"/>
      <c r="I33" s="25"/>
      <c r="J33" s="25"/>
      <c r="K33" s="26"/>
    </row>
    <row r="34" spans="1:11">
      <c r="A34" s="23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>
      <c r="A35" s="27" t="s">
        <v>86</v>
      </c>
      <c r="B35" s="39">
        <f>B21*((1/B10)+(B11/B10)*(EXP(-B10*B24)/(B10-B11)))</f>
        <v>4114.3897718914131</v>
      </c>
      <c r="C35" s="25"/>
      <c r="D35" s="25"/>
      <c r="E35" s="25"/>
      <c r="F35" s="28" t="s">
        <v>134</v>
      </c>
      <c r="G35" s="25"/>
      <c r="H35" s="25"/>
      <c r="I35" s="25"/>
      <c r="J35" s="25"/>
      <c r="K35" s="26"/>
    </row>
    <row r="36" spans="1:11">
      <c r="A36" s="27" t="s">
        <v>25</v>
      </c>
      <c r="B36" s="39">
        <f>B22*((1/B10)+(B12/B10)*(EXP(-B10*B24)/(B10-B12)))</f>
        <v>3989.1290080521539</v>
      </c>
      <c r="C36" s="25"/>
      <c r="D36" s="25"/>
      <c r="E36" s="25"/>
      <c r="F36" s="28" t="s">
        <v>134</v>
      </c>
      <c r="G36" s="25"/>
      <c r="H36" s="25"/>
      <c r="I36" s="25"/>
      <c r="J36" s="25"/>
      <c r="K36" s="26"/>
    </row>
    <row r="37" spans="1:11">
      <c r="A37" s="27" t="s">
        <v>26</v>
      </c>
      <c r="B37" s="39">
        <f>B3/(B10-B11)-B4/(B10-B12)-B5</f>
        <v>125.26076383925994</v>
      </c>
      <c r="C37" s="25"/>
      <c r="D37" s="25"/>
      <c r="E37" s="25"/>
      <c r="F37" s="28" t="s">
        <v>134</v>
      </c>
      <c r="G37" s="25"/>
      <c r="H37" s="25"/>
      <c r="I37" s="25"/>
      <c r="J37" s="25"/>
      <c r="K37" s="26"/>
    </row>
    <row r="38" spans="1:11">
      <c r="A38" s="27" t="s">
        <v>27</v>
      </c>
      <c r="B38" s="35">
        <f>B35-B36-B37</f>
        <v>-7.3896444519050419E-13</v>
      </c>
      <c r="C38" s="25"/>
      <c r="D38" s="25"/>
      <c r="E38" s="25"/>
      <c r="F38" s="28" t="s">
        <v>134</v>
      </c>
      <c r="G38" s="25"/>
      <c r="H38" s="25"/>
      <c r="I38" s="25"/>
      <c r="J38" s="25"/>
      <c r="K38" s="26"/>
    </row>
    <row r="39" spans="1:11">
      <c r="A39" s="27" t="s">
        <v>86</v>
      </c>
      <c r="B39" s="39" t="s">
        <v>40</v>
      </c>
      <c r="C39" s="25"/>
      <c r="D39" s="25"/>
      <c r="E39" s="25"/>
      <c r="F39" s="25"/>
      <c r="G39" s="25"/>
      <c r="H39" s="25"/>
      <c r="I39" s="25"/>
      <c r="J39" s="25"/>
      <c r="K39" s="26"/>
    </row>
    <row r="40" spans="1:11">
      <c r="A40" s="27" t="s">
        <v>25</v>
      </c>
      <c r="B40" s="39" t="s">
        <v>41</v>
      </c>
      <c r="C40" s="25"/>
      <c r="D40" s="25"/>
      <c r="E40" s="25"/>
      <c r="F40" s="25"/>
      <c r="G40" s="25"/>
      <c r="H40" s="25"/>
      <c r="I40" s="25"/>
      <c r="J40" s="25"/>
      <c r="K40" s="26"/>
    </row>
    <row r="41" spans="1:11">
      <c r="A41" s="27" t="s">
        <v>26</v>
      </c>
      <c r="B41" s="39" t="s">
        <v>28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>
      <c r="A42" s="27" t="s">
        <v>27</v>
      </c>
      <c r="B42" s="35" t="s">
        <v>42</v>
      </c>
      <c r="C42" s="25"/>
      <c r="D42" s="25"/>
      <c r="E42" s="25"/>
      <c r="F42" s="28" t="s">
        <v>5</v>
      </c>
      <c r="G42" s="25"/>
      <c r="H42" s="25"/>
      <c r="I42" s="25"/>
      <c r="J42" s="25"/>
      <c r="K42" s="26"/>
    </row>
    <row r="43" spans="1:11">
      <c r="A43" s="27"/>
      <c r="B43" s="49" t="s">
        <v>29</v>
      </c>
      <c r="C43" s="49"/>
      <c r="D43" s="49"/>
      <c r="E43" s="49"/>
      <c r="F43" s="49"/>
      <c r="G43" s="49"/>
      <c r="H43" s="25"/>
      <c r="I43" s="25"/>
      <c r="J43" s="25"/>
      <c r="K43" s="26"/>
    </row>
    <row r="44" spans="1:11">
      <c r="A44" s="27" t="s">
        <v>30</v>
      </c>
      <c r="B44" s="25">
        <v>1</v>
      </c>
      <c r="C44" s="25">
        <f>B44+1</f>
        <v>2</v>
      </c>
      <c r="D44" s="25">
        <f t="shared" ref="D44:K44" si="0">C44+1</f>
        <v>3</v>
      </c>
      <c r="E44" s="25">
        <f t="shared" si="0"/>
        <v>4</v>
      </c>
      <c r="F44" s="25">
        <f t="shared" si="0"/>
        <v>5</v>
      </c>
      <c r="G44" s="25">
        <f t="shared" si="0"/>
        <v>6</v>
      </c>
      <c r="H44" s="25">
        <f>G44+1</f>
        <v>7</v>
      </c>
      <c r="I44" s="25">
        <f>H44+1</f>
        <v>8</v>
      </c>
      <c r="J44" s="46">
        <f t="shared" si="0"/>
        <v>9</v>
      </c>
      <c r="K44" s="40">
        <f t="shared" si="0"/>
        <v>10</v>
      </c>
    </row>
    <row r="45" spans="1:11">
      <c r="A45" s="27" t="s">
        <v>82</v>
      </c>
      <c r="B45" s="39">
        <f>$B$3*EXP($B$11*B44)</f>
        <v>481.40205001419747</v>
      </c>
      <c r="C45" s="29">
        <f t="shared" ref="C45:K45" si="1">$B$3*EXP($B$11*C44)</f>
        <v>475.12974560973129</v>
      </c>
      <c r="D45" s="29">
        <f t="shared" si="1"/>
        <v>468.93916458500792</v>
      </c>
      <c r="E45" s="29">
        <f t="shared" si="1"/>
        <v>462.82924214623455</v>
      </c>
      <c r="F45" s="29">
        <f t="shared" si="1"/>
        <v>456.79892737307574</v>
      </c>
      <c r="G45" s="29">
        <f t="shared" si="1"/>
        <v>450.84718303789253</v>
      </c>
      <c r="H45" s="29">
        <f>$B$3*EXP($B$11*H44)</f>
        <v>444.97298542733739</v>
      </c>
      <c r="I45" s="29">
        <f t="shared" si="1"/>
        <v>439.1753241662729</v>
      </c>
      <c r="J45" s="47">
        <f t="shared" si="1"/>
        <v>433.45320204398502</v>
      </c>
      <c r="K45" s="45">
        <f t="shared" si="1"/>
        <v>427.80563484266071</v>
      </c>
    </row>
    <row r="46" spans="1:11">
      <c r="A46" s="27" t="s">
        <v>6</v>
      </c>
      <c r="B46" s="39">
        <f>$B$4*EXP($B$12*B44)</f>
        <v>345.27382382859588</v>
      </c>
      <c r="C46" s="29">
        <f t="shared" ref="C46:K46" si="2">$B$4*EXP($B$12*C44)</f>
        <v>349.21093980876088</v>
      </c>
      <c r="D46" s="29">
        <f t="shared" si="2"/>
        <v>353.19295024999269</v>
      </c>
      <c r="E46" s="29">
        <f t="shared" si="2"/>
        <v>357.22036707844364</v>
      </c>
      <c r="F46" s="29">
        <f t="shared" si="2"/>
        <v>361.29370805769827</v>
      </c>
      <c r="G46" s="29">
        <f t="shared" si="2"/>
        <v>365.41349685533726</v>
      </c>
      <c r="H46" s="29">
        <f>$B$4*EXP($B$12*H44)</f>
        <v>369.58026311026003</v>
      </c>
      <c r="I46" s="29">
        <f t="shared" si="2"/>
        <v>373.79454250077453</v>
      </c>
      <c r="J46" s="47">
        <f t="shared" si="2"/>
        <v>378.05687681346438</v>
      </c>
      <c r="K46" s="45">
        <f t="shared" si="2"/>
        <v>382.36781401284065</v>
      </c>
    </row>
    <row r="47" spans="1:11">
      <c r="A47" s="27" t="s">
        <v>87</v>
      </c>
      <c r="B47" s="29">
        <f t="shared" ref="B47:K47" si="3">B45-B46</f>
        <v>136.12822618560159</v>
      </c>
      <c r="C47" s="29">
        <f t="shared" si="3"/>
        <v>125.9188058009704</v>
      </c>
      <c r="D47" s="29">
        <f t="shared" si="3"/>
        <v>115.74621433501522</v>
      </c>
      <c r="E47" s="29">
        <f t="shared" si="3"/>
        <v>105.6088750677909</v>
      </c>
      <c r="F47" s="29">
        <f t="shared" si="3"/>
        <v>95.505219315377474</v>
      </c>
      <c r="G47" s="29">
        <f t="shared" si="3"/>
        <v>85.433686182555277</v>
      </c>
      <c r="H47" s="29">
        <f>H45-H46</f>
        <v>75.392722317077357</v>
      </c>
      <c r="I47" s="29">
        <f t="shared" si="3"/>
        <v>65.380781665498375</v>
      </c>
      <c r="J47" s="47">
        <f t="shared" si="3"/>
        <v>55.396325230520631</v>
      </c>
      <c r="K47" s="45">
        <f t="shared" si="3"/>
        <v>45.437820829820055</v>
      </c>
    </row>
    <row r="48" spans="1:11">
      <c r="A48" s="27" t="s">
        <v>82</v>
      </c>
      <c r="B48" s="39" t="s">
        <v>34</v>
      </c>
      <c r="C48" s="25"/>
      <c r="D48" s="25"/>
      <c r="E48" s="25"/>
      <c r="F48" s="25"/>
      <c r="G48" s="25"/>
      <c r="H48" s="25"/>
      <c r="I48" s="25"/>
      <c r="J48" s="25"/>
      <c r="K48" s="26"/>
    </row>
    <row r="49" spans="1:11">
      <c r="A49" s="41" t="s">
        <v>6</v>
      </c>
      <c r="B49" s="42" t="s">
        <v>35</v>
      </c>
      <c r="C49" s="43"/>
      <c r="D49" s="43"/>
      <c r="E49" s="43"/>
      <c r="F49" s="43"/>
      <c r="G49" s="43"/>
      <c r="H49" s="43"/>
      <c r="I49" s="43"/>
      <c r="J49" s="43"/>
      <c r="K49" s="44"/>
    </row>
  </sheetData>
  <printOptions horizontalCentered="1" headings="1"/>
  <pageMargins left="0.25" right="0.25" top="0.75" bottom="0.75" header="0.3" footer="0.3"/>
  <pageSetup scale="9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E61"/>
  <sheetViews>
    <sheetView workbookViewId="0">
      <selection sqref="A1:F61"/>
    </sheetView>
  </sheetViews>
  <sheetFormatPr defaultRowHeight="12.75"/>
  <cols>
    <col min="1" max="1" width="14.85546875" bestFit="1" customWidth="1"/>
    <col min="2" max="2" width="15.7109375" customWidth="1"/>
    <col min="3" max="3" width="20.42578125" customWidth="1"/>
    <col min="4" max="4" width="18" bestFit="1" customWidth="1"/>
  </cols>
  <sheetData>
    <row r="1" spans="1:5" ht="15.75">
      <c r="A1" s="13" t="s">
        <v>5</v>
      </c>
      <c r="B1" s="1" t="s">
        <v>78</v>
      </c>
      <c r="C1" s="1"/>
      <c r="D1" s="1"/>
    </row>
    <row r="2" spans="1:5">
      <c r="A2" t="s">
        <v>1</v>
      </c>
      <c r="B2" s="13" t="s">
        <v>93</v>
      </c>
      <c r="C2" s="13" t="s">
        <v>92</v>
      </c>
      <c r="D2" s="13" t="s">
        <v>94</v>
      </c>
    </row>
    <row r="3" spans="1:5" ht="15.75">
      <c r="A3" s="27" t="s">
        <v>79</v>
      </c>
      <c r="B3" s="2">
        <f>FIVEDeter!B3</f>
        <v>487.75715664880352</v>
      </c>
      <c r="C3" s="2">
        <f>B3</f>
        <v>487.75715664880352</v>
      </c>
      <c r="D3" s="2">
        <f>C3</f>
        <v>487.75715664880352</v>
      </c>
    </row>
    <row r="4" spans="1:5" ht="15.75">
      <c r="A4" s="27" t="s">
        <v>21</v>
      </c>
      <c r="B4" s="2">
        <f>FIVEDeter!B4</f>
        <v>341.38109615496489</v>
      </c>
      <c r="C4" s="2">
        <f t="shared" ref="C4:C10" si="0">B4</f>
        <v>341.38109615496489</v>
      </c>
      <c r="D4" s="2">
        <f t="shared" ref="D4:D12" si="1">C4</f>
        <v>341.38109615496489</v>
      </c>
    </row>
    <row r="5" spans="1:5">
      <c r="A5" s="23" t="s">
        <v>2</v>
      </c>
      <c r="B5" s="2">
        <f>FIVEDeter!B5</f>
        <v>336.41</v>
      </c>
      <c r="C5" s="2">
        <f t="shared" si="0"/>
        <v>336.41</v>
      </c>
      <c r="D5" s="2">
        <f t="shared" si="1"/>
        <v>336.41</v>
      </c>
    </row>
    <row r="6" spans="1:5">
      <c r="A6" s="27" t="s">
        <v>7</v>
      </c>
      <c r="B6" s="29">
        <f>FIVEDeter!B6</f>
        <v>380.04707896007397</v>
      </c>
      <c r="C6" s="2">
        <f t="shared" si="0"/>
        <v>380.04707896007397</v>
      </c>
      <c r="D6" s="2">
        <f t="shared" si="1"/>
        <v>380.04707896007397</v>
      </c>
    </row>
    <row r="7" spans="1:5" ht="14.25">
      <c r="A7" s="31" t="s">
        <v>81</v>
      </c>
      <c r="B7" s="2">
        <f>FIVEDeter!B7</f>
        <v>0</v>
      </c>
      <c r="C7" s="12">
        <f>FIVE!$N$8</f>
        <v>0.10415190980783032</v>
      </c>
      <c r="D7" s="12">
        <f t="shared" si="1"/>
        <v>0.10415190980783032</v>
      </c>
    </row>
    <row r="8" spans="1:5" ht="14.25">
      <c r="A8" s="31" t="s">
        <v>22</v>
      </c>
      <c r="B8" s="2">
        <f>FIVEDeter!B8</f>
        <v>0</v>
      </c>
      <c r="C8" s="12">
        <f>FIVE!$N$9</f>
        <v>5.0739668600531841E-2</v>
      </c>
      <c r="D8" s="12">
        <f t="shared" si="1"/>
        <v>5.0739668600531841E-2</v>
      </c>
    </row>
    <row r="9" spans="1:5">
      <c r="A9" s="31" t="s">
        <v>3</v>
      </c>
      <c r="B9" s="2">
        <f>FIVEDeter!B9</f>
        <v>0</v>
      </c>
      <c r="C9" s="12">
        <f>FIVE!$O$8</f>
        <v>0.78298966674608472</v>
      </c>
      <c r="D9" s="12">
        <f t="shared" si="1"/>
        <v>0.78298966674608472</v>
      </c>
    </row>
    <row r="10" spans="1:5">
      <c r="A10" s="32" t="s">
        <v>3</v>
      </c>
      <c r="B10" s="2">
        <f>FIVEDeter!B10</f>
        <v>0.1</v>
      </c>
      <c r="C10" s="2">
        <f t="shared" si="0"/>
        <v>0.1</v>
      </c>
      <c r="D10" s="2">
        <f t="shared" si="1"/>
        <v>0.1</v>
      </c>
    </row>
    <row r="11" spans="1:5" ht="14.25">
      <c r="A11" s="31" t="s">
        <v>80</v>
      </c>
      <c r="B11" s="5">
        <f>FIVEDeter!B11</f>
        <v>-1.311486839395282E-2</v>
      </c>
      <c r="C11" s="5">
        <f>B11</f>
        <v>-1.311486839395282E-2</v>
      </c>
      <c r="D11" s="12">
        <f t="shared" si="1"/>
        <v>-1.311486839395282E-2</v>
      </c>
    </row>
    <row r="12" spans="1:5" ht="14.25">
      <c r="A12" s="31" t="s">
        <v>23</v>
      </c>
      <c r="B12" s="5">
        <f>FIVEDeter!B12</f>
        <v>1.1338357197489388E-2</v>
      </c>
      <c r="C12" s="5">
        <f>B12</f>
        <v>1.1338357197489388E-2</v>
      </c>
      <c r="D12" s="12">
        <f t="shared" si="1"/>
        <v>1.1338357197489388E-2</v>
      </c>
    </row>
    <row r="13" spans="1:5">
      <c r="A13" s="3"/>
      <c r="B13" s="2"/>
      <c r="C13" s="2"/>
      <c r="D13" s="2"/>
    </row>
    <row r="14" spans="1:5">
      <c r="A14" s="4" t="s">
        <v>4</v>
      </c>
      <c r="B14" s="2"/>
      <c r="C14" s="3" t="s">
        <v>5</v>
      </c>
      <c r="D14" s="2"/>
    </row>
    <row r="15" spans="1:5">
      <c r="A15" s="4" t="s">
        <v>8</v>
      </c>
      <c r="B15" s="35">
        <f>B11*B23+B12*B24-B10</f>
        <v>-5.3013149425851225E-15</v>
      </c>
      <c r="C15" s="8">
        <f>0.5*(C7^2)*C23*(C23-1)+0.5*(C8^2)*C24*(C24-1)+C9*C7*C8*C23*C24+C11*C23+C12*C24-C10</f>
        <v>1.1764810237124834E-9</v>
      </c>
      <c r="D15" s="8">
        <f>0.5*(D7^2)*D23*(D23-1)+0.5*(D8^2)*D24*(D24-1)+D9*D7*D8*D23*D24+D11*D23+D12*D24-D10</f>
        <v>-6.2655515760401403E-6</v>
      </c>
      <c r="E15" s="6" t="s">
        <v>5</v>
      </c>
    </row>
    <row r="16" spans="1:5">
      <c r="A16" s="4" t="s">
        <v>12</v>
      </c>
      <c r="B16" s="35">
        <f>((B3/B25)^B23)*((B4/B6)^B24)-EXP(-B10*B26)</f>
        <v>1.5876189252139739E-14</v>
      </c>
      <c r="C16" s="8">
        <f>C25/(-C23*(C10-C11))-C6/(C24*(C10-C12))</f>
        <v>6.9143900418566773E-6</v>
      </c>
      <c r="D16" s="8">
        <f>D25/(-D23*(D10-D11))-D6/(D24*(D10-D12))</f>
        <v>-8.6998284132278059E-7</v>
      </c>
      <c r="E16" s="6" t="s">
        <v>5</v>
      </c>
    </row>
    <row r="17" spans="1:5">
      <c r="A17" s="4" t="s">
        <v>18</v>
      </c>
      <c r="B17" s="35">
        <f>B18-B19-B20</f>
        <v>-7.3896444519050419E-13</v>
      </c>
      <c r="C17" s="8">
        <f>C18*C19+C20</f>
        <v>-4.5480224315497253E-6</v>
      </c>
      <c r="D17" s="8">
        <f>D18-D19</f>
        <v>-1.7339274904770718E-8</v>
      </c>
      <c r="E17" s="6" t="s">
        <v>5</v>
      </c>
    </row>
    <row r="18" spans="1:5">
      <c r="A18" t="s">
        <v>9</v>
      </c>
      <c r="B18" s="39">
        <f>B25*((1/B10)+(B11/B10)*(EXP(-B10*B26)/(B10-B11)))</f>
        <v>4114.3897718914131</v>
      </c>
      <c r="C18" s="7">
        <f>C6/(C24*(C10-C12))</f>
        <v>1351.3974944754179</v>
      </c>
      <c r="D18" s="7">
        <f>(D6/(D24*(D10-D12)))*(1-D23-D24)</f>
        <v>125.26076382192066</v>
      </c>
    </row>
    <row r="19" spans="1:5">
      <c r="A19" t="s">
        <v>10</v>
      </c>
      <c r="B19" s="39">
        <f>B6*((1/B10)+(B12/B10)*(EXP(-B10*B26)/(B10-B12)))</f>
        <v>3989.1290080521539</v>
      </c>
      <c r="C19" s="8">
        <f>1-C23-C24-((C3^C23)*(C4^C24)/(C6^(C23+C24)))*((-C23*(C10-C11)/(C24*(C10-C12)))^-C23)</f>
        <v>9.2689796897885257E-2</v>
      </c>
      <c r="D19" s="7">
        <f>D3/(D10-D11)-D4/(D10-D12)-D5</f>
        <v>125.26076383925994</v>
      </c>
    </row>
    <row r="20" spans="1:5">
      <c r="A20" s="6" t="s">
        <v>13</v>
      </c>
      <c r="B20" s="39">
        <f>B3/(B10-B11)-B4/(B10-B12)-B5</f>
        <v>125.26076383925994</v>
      </c>
      <c r="C20" s="9">
        <f>-C3/(C10-C11)+C4/(C10-C12)+C5</f>
        <v>-125.26076383925994</v>
      </c>
    </row>
    <row r="21" spans="1:5">
      <c r="A21" t="s">
        <v>11</v>
      </c>
      <c r="B21" s="10">
        <f t="array" ref="B21">SUM(ABS(B15:B17))</f>
        <v>7.6014194938522905E-13</v>
      </c>
      <c r="C21" s="12">
        <f t="array" ref="C21">SUM(ABS(C15:C17))</f>
        <v>1.1463588954430115E-5</v>
      </c>
      <c r="D21" s="12">
        <f t="array" ref="D21">SUM(ABS(D15:D17))</f>
        <v>7.1528736922676917E-6</v>
      </c>
      <c r="E21" s="12">
        <f t="array" ref="E21">SUM(ABS(B21:D21))</f>
        <v>1.8616463406839756E-5</v>
      </c>
    </row>
    <row r="22" spans="1:5">
      <c r="A22" s="6" t="s">
        <v>107</v>
      </c>
    </row>
    <row r="23" spans="1:5">
      <c r="A23" s="3" t="s">
        <v>19</v>
      </c>
      <c r="B23" s="35">
        <v>-2.6715516164060009</v>
      </c>
      <c r="C23" s="5">
        <v>-2.7289933306871523</v>
      </c>
      <c r="D23" s="5">
        <v>-2.6458063332728967</v>
      </c>
      <c r="E23" s="6" t="s">
        <v>5</v>
      </c>
    </row>
    <row r="24" spans="1:5">
      <c r="A24" s="3" t="s">
        <v>20</v>
      </c>
      <c r="B24" s="35">
        <v>5.7294854105992181</v>
      </c>
      <c r="C24" s="5">
        <v>3.171892904858213</v>
      </c>
      <c r="D24" s="5">
        <v>3.5422926253021454</v>
      </c>
      <c r="E24" s="6" t="s">
        <v>5</v>
      </c>
    </row>
    <row r="25" spans="1:5">
      <c r="A25" s="6" t="s">
        <v>83</v>
      </c>
      <c r="B25" s="36">
        <v>430.82875786015393</v>
      </c>
      <c r="C25" s="14">
        <v>417.16251827042441</v>
      </c>
      <c r="D25" s="14">
        <v>362.15537547400316</v>
      </c>
      <c r="E25" s="6" t="s">
        <v>5</v>
      </c>
    </row>
    <row r="26" spans="1:5">
      <c r="A26" s="64" t="s">
        <v>17</v>
      </c>
      <c r="B26" s="65">
        <f>(1/B11)*LN(B25/B3)</f>
        <v>9.4630728150696761</v>
      </c>
      <c r="C26" s="65">
        <f>(1/C11)*LN(C25/C3)</f>
        <v>11.920956394197923</v>
      </c>
      <c r="D26" s="66">
        <f>(1/D11)*LN(D25/D3)</f>
        <v>22.702806423679572</v>
      </c>
    </row>
    <row r="27" spans="1:5">
      <c r="A27" s="34" t="s">
        <v>97</v>
      </c>
      <c r="B27" s="55"/>
      <c r="C27" s="38">
        <f>C29*-C30+C31</f>
        <v>752.86414542013108</v>
      </c>
      <c r="D27" s="25" t="s">
        <v>102</v>
      </c>
    </row>
    <row r="28" spans="1:5">
      <c r="A28" s="34" t="s">
        <v>98</v>
      </c>
      <c r="B28" s="55"/>
      <c r="C28" s="36">
        <f>C29*-C30</f>
        <v>1351.397501389808</v>
      </c>
      <c r="D28" s="36" t="s">
        <v>112</v>
      </c>
    </row>
    <row r="29" spans="1:5">
      <c r="A29" s="4" t="s">
        <v>99</v>
      </c>
      <c r="B29" s="55"/>
      <c r="C29" s="7">
        <f>C25/(C23*(C10-C11))</f>
        <v>-1351.397501389808</v>
      </c>
      <c r="D29" s="25"/>
      <c r="E29" s="7" t="s">
        <v>5</v>
      </c>
    </row>
    <row r="30" spans="1:5">
      <c r="A30" s="4" t="s">
        <v>100</v>
      </c>
      <c r="B30" s="55"/>
      <c r="C30" s="7">
        <f>((C6/C6)^C24)*((C25/C25)^C23)</f>
        <v>1</v>
      </c>
      <c r="D30" s="25"/>
      <c r="E30" s="7" t="s">
        <v>5</v>
      </c>
    </row>
    <row r="31" spans="1:5">
      <c r="A31" s="4" t="s">
        <v>101</v>
      </c>
      <c r="B31" s="55"/>
      <c r="C31" s="7">
        <f>(C25)/(C10-C11)-(C6)/(C10-C12)</f>
        <v>-598.5333559696769</v>
      </c>
      <c r="D31" s="25" t="s">
        <v>103</v>
      </c>
    </row>
    <row r="32" spans="1:5">
      <c r="A32" s="34" t="s">
        <v>114</v>
      </c>
      <c r="B32" s="55"/>
      <c r="C32" s="38">
        <f>C34*-C35+C36</f>
        <v>800.42343857735727</v>
      </c>
      <c r="D32" s="25" t="s">
        <v>102</v>
      </c>
    </row>
    <row r="33" spans="1:4">
      <c r="A33" s="34" t="s">
        <v>110</v>
      </c>
      <c r="B33" s="55"/>
      <c r="C33" s="36">
        <f>C34*-C35</f>
        <v>1278.1394361946984</v>
      </c>
      <c r="D33" s="36" t="s">
        <v>111</v>
      </c>
    </row>
    <row r="34" spans="1:4">
      <c r="A34" s="4" t="s">
        <v>99</v>
      </c>
      <c r="B34" s="55"/>
      <c r="C34" s="7">
        <f>B25/(C23*(C10-C11))</f>
        <v>-1395.6692689290546</v>
      </c>
      <c r="D34" s="25"/>
    </row>
    <row r="35" spans="1:4">
      <c r="A35" s="4" t="s">
        <v>100</v>
      </c>
      <c r="B35" s="55"/>
      <c r="C35" s="7">
        <f>((C6/C6)^C24)*((B25/C25)^C23)</f>
        <v>0.91578962484103343</v>
      </c>
    </row>
    <row r="36" spans="1:4">
      <c r="A36" s="4" t="s">
        <v>101</v>
      </c>
      <c r="B36" s="55"/>
      <c r="C36" s="7">
        <f>(B25)/(C10-C11)-(C6)/(C10-C12)</f>
        <v>-477.71599761734115</v>
      </c>
      <c r="D36" t="s">
        <v>103</v>
      </c>
    </row>
    <row r="37" spans="1:4">
      <c r="A37" s="4" t="s">
        <v>113</v>
      </c>
      <c r="B37" s="55"/>
      <c r="C37" s="67">
        <f>C28-C33</f>
        <v>73.258065195109566</v>
      </c>
    </row>
    <row r="38" spans="1:4">
      <c r="A38" s="6" t="s">
        <v>91</v>
      </c>
      <c r="B38" s="10"/>
    </row>
    <row r="39" spans="1:4">
      <c r="A39" s="4" t="s">
        <v>8</v>
      </c>
      <c r="B39" s="4" t="s">
        <v>31</v>
      </c>
      <c r="C39" s="69" t="s">
        <v>115</v>
      </c>
    </row>
    <row r="40" spans="1:4">
      <c r="A40" s="4" t="s">
        <v>12</v>
      </c>
      <c r="B40" s="4" t="s">
        <v>32</v>
      </c>
      <c r="C40" s="8" t="s">
        <v>116</v>
      </c>
      <c r="D40" s="6" t="s">
        <v>5</v>
      </c>
    </row>
    <row r="41" spans="1:4">
      <c r="A41" s="4" t="s">
        <v>18</v>
      </c>
      <c r="B41" s="4" t="s">
        <v>33</v>
      </c>
      <c r="C41" s="8" t="s">
        <v>117</v>
      </c>
    </row>
    <row r="42" spans="1:4">
      <c r="A42" t="s">
        <v>9</v>
      </c>
      <c r="B42" t="s">
        <v>9</v>
      </c>
      <c r="C42" s="7" t="s">
        <v>118</v>
      </c>
    </row>
    <row r="43" spans="1:4">
      <c r="A43" t="s">
        <v>10</v>
      </c>
      <c r="B43" t="s">
        <v>10</v>
      </c>
      <c r="C43" s="69" t="s">
        <v>119</v>
      </c>
    </row>
    <row r="44" spans="1:4">
      <c r="A44" s="6" t="s">
        <v>13</v>
      </c>
      <c r="B44" s="6" t="s">
        <v>13</v>
      </c>
      <c r="C44" s="9" t="s">
        <v>120</v>
      </c>
    </row>
    <row r="45" spans="1:4">
      <c r="A45" s="6" t="s">
        <v>96</v>
      </c>
      <c r="B45" s="10"/>
      <c r="C45" s="10"/>
    </row>
    <row r="46" spans="1:4">
      <c r="A46" s="4" t="s">
        <v>8</v>
      </c>
      <c r="B46" s="4" t="s">
        <v>31</v>
      </c>
      <c r="C46" s="69" t="s">
        <v>16</v>
      </c>
    </row>
    <row r="47" spans="1:4">
      <c r="A47" s="4" t="s">
        <v>12</v>
      </c>
      <c r="B47" s="4" t="s">
        <v>104</v>
      </c>
      <c r="C47" s="8" t="s">
        <v>95</v>
      </c>
      <c r="D47" s="6" t="s">
        <v>5</v>
      </c>
    </row>
    <row r="48" spans="1:4">
      <c r="A48" s="4" t="s">
        <v>18</v>
      </c>
      <c r="B48" s="4" t="s">
        <v>105</v>
      </c>
      <c r="C48" s="8" t="s">
        <v>121</v>
      </c>
    </row>
    <row r="49" spans="1:3">
      <c r="A49" t="s">
        <v>9</v>
      </c>
      <c r="B49" t="s">
        <v>9</v>
      </c>
      <c r="C49" s="7" t="s">
        <v>122</v>
      </c>
    </row>
    <row r="50" spans="1:3">
      <c r="A50" t="s">
        <v>10</v>
      </c>
      <c r="B50" t="s">
        <v>10</v>
      </c>
      <c r="C50" s="7" t="s">
        <v>123</v>
      </c>
    </row>
    <row r="51" spans="1:3">
      <c r="A51" s="75" t="s">
        <v>97</v>
      </c>
      <c r="B51" s="10" t="s">
        <v>106</v>
      </c>
      <c r="C51" s="38" t="s">
        <v>124</v>
      </c>
    </row>
    <row r="52" spans="1:3">
      <c r="A52" s="34" t="s">
        <v>98</v>
      </c>
      <c r="B52" s="55"/>
      <c r="C52" s="36" t="s">
        <v>125</v>
      </c>
    </row>
    <row r="53" spans="1:3">
      <c r="A53" s="4" t="s">
        <v>99</v>
      </c>
      <c r="B53" s="55"/>
      <c r="C53" s="7" t="s">
        <v>126</v>
      </c>
    </row>
    <row r="54" spans="1:3">
      <c r="A54" s="4" t="s">
        <v>100</v>
      </c>
      <c r="B54" s="55"/>
      <c r="C54" s="7" t="s">
        <v>108</v>
      </c>
    </row>
    <row r="55" spans="1:3">
      <c r="A55" s="4" t="s">
        <v>101</v>
      </c>
      <c r="B55" s="55"/>
      <c r="C55" s="7" t="s">
        <v>109</v>
      </c>
    </row>
    <row r="56" spans="1:3">
      <c r="A56" s="34" t="s">
        <v>114</v>
      </c>
      <c r="C56" s="38" t="s">
        <v>127</v>
      </c>
    </row>
    <row r="57" spans="1:3">
      <c r="A57" s="34" t="s">
        <v>110</v>
      </c>
      <c r="C57" s="36" t="s">
        <v>128</v>
      </c>
    </row>
    <row r="58" spans="1:3">
      <c r="A58" s="4" t="s">
        <v>99</v>
      </c>
      <c r="C58" s="7" t="s">
        <v>132</v>
      </c>
    </row>
    <row r="59" spans="1:3">
      <c r="A59" s="4" t="s">
        <v>100</v>
      </c>
      <c r="C59" s="7" t="s">
        <v>129</v>
      </c>
    </row>
    <row r="60" spans="1:3">
      <c r="A60" s="4" t="s">
        <v>101</v>
      </c>
      <c r="C60" s="7" t="s">
        <v>131</v>
      </c>
    </row>
    <row r="61" spans="1:3">
      <c r="A61" s="4" t="s">
        <v>113</v>
      </c>
      <c r="C61" s="68" t="s">
        <v>130</v>
      </c>
    </row>
  </sheetData>
  <printOptions horizontalCentered="1" headings="1"/>
  <pageMargins left="0.44" right="0.25" top="0.42" bottom="0.47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/>
  <dimension ref="A1:J22"/>
  <sheetViews>
    <sheetView tabSelected="1" workbookViewId="0">
      <selection activeCell="B8" sqref="B8"/>
    </sheetView>
  </sheetViews>
  <sheetFormatPr defaultRowHeight="12.75"/>
  <cols>
    <col min="1" max="1" width="23.28515625" bestFit="1" customWidth="1"/>
  </cols>
  <sheetData>
    <row r="1" spans="1:10" ht="18.7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t="s">
        <v>44</v>
      </c>
      <c r="E2" s="6" t="s">
        <v>5</v>
      </c>
      <c r="G2" s="21" t="s">
        <v>63</v>
      </c>
      <c r="H2" s="21"/>
      <c r="I2" s="21"/>
      <c r="J2" s="21"/>
    </row>
    <row r="3" spans="1:10">
      <c r="A3">
        <v>834</v>
      </c>
      <c r="B3">
        <v>2005</v>
      </c>
      <c r="C3" s="22">
        <f>B3+1</f>
        <v>2006</v>
      </c>
      <c r="D3" s="6">
        <f t="shared" ref="D3:F3" si="0">C3+1</f>
        <v>2007</v>
      </c>
      <c r="E3">
        <f t="shared" si="0"/>
        <v>2008</v>
      </c>
      <c r="F3">
        <f t="shared" si="0"/>
        <v>2009</v>
      </c>
      <c r="G3">
        <v>2010</v>
      </c>
      <c r="H3" s="6" t="s">
        <v>5</v>
      </c>
      <c r="I3" s="6" t="s">
        <v>5</v>
      </c>
      <c r="J3" s="6" t="s">
        <v>5</v>
      </c>
    </row>
    <row r="4" spans="1:10">
      <c r="A4" t="s">
        <v>47</v>
      </c>
      <c r="B4" s="12">
        <v>0.85299999999999998</v>
      </c>
      <c r="C4" s="12">
        <v>0.876</v>
      </c>
      <c r="D4" s="12">
        <v>0.91800000000000004</v>
      </c>
      <c r="E4" s="12">
        <v>0.90700000000000003</v>
      </c>
      <c r="F4" s="12">
        <v>0.83799999999999997</v>
      </c>
      <c r="G4" s="12">
        <v>0.88600000000000001</v>
      </c>
    </row>
    <row r="5" spans="1:10">
      <c r="A5" t="s">
        <v>48</v>
      </c>
      <c r="B5">
        <v>247</v>
      </c>
      <c r="C5">
        <v>265</v>
      </c>
      <c r="D5">
        <v>284</v>
      </c>
      <c r="E5">
        <v>283</v>
      </c>
      <c r="F5">
        <v>200</v>
      </c>
      <c r="G5">
        <v>213</v>
      </c>
    </row>
    <row r="6" spans="1:10">
      <c r="A6" t="s">
        <v>49</v>
      </c>
      <c r="B6">
        <v>211</v>
      </c>
      <c r="C6">
        <v>232</v>
      </c>
      <c r="D6">
        <v>261</v>
      </c>
      <c r="E6">
        <v>257</v>
      </c>
      <c r="F6">
        <v>168</v>
      </c>
      <c r="G6">
        <v>189</v>
      </c>
    </row>
    <row r="7" spans="1:10">
      <c r="A7" t="s">
        <v>50</v>
      </c>
      <c r="B7">
        <v>61673</v>
      </c>
      <c r="C7">
        <v>68106</v>
      </c>
      <c r="D7">
        <v>76610</v>
      </c>
      <c r="E7">
        <v>75722</v>
      </c>
      <c r="F7">
        <v>49853</v>
      </c>
      <c r="G7">
        <v>57360</v>
      </c>
    </row>
    <row r="8" spans="1:10">
      <c r="A8" t="s">
        <v>51</v>
      </c>
      <c r="B8">
        <f>B9-B7</f>
        <v>19220</v>
      </c>
      <c r="C8">
        <f t="shared" ref="C8:F8" si="1">C9-C7</f>
        <v>19977</v>
      </c>
      <c r="D8">
        <f t="shared" si="1"/>
        <v>24661</v>
      </c>
      <c r="E8">
        <f t="shared" si="1"/>
        <v>22067</v>
      </c>
      <c r="F8">
        <f t="shared" si="1"/>
        <v>15810</v>
      </c>
      <c r="G8">
        <f t="shared" ref="G8" si="2">G9-G7</f>
        <v>15444</v>
      </c>
    </row>
    <row r="9" spans="1:10">
      <c r="A9" t="s">
        <v>52</v>
      </c>
      <c r="B9">
        <v>80893</v>
      </c>
      <c r="C9">
        <v>88083</v>
      </c>
      <c r="D9">
        <v>101271</v>
      </c>
      <c r="E9">
        <v>97789</v>
      </c>
      <c r="F9">
        <v>65663</v>
      </c>
      <c r="G9">
        <v>72804</v>
      </c>
    </row>
    <row r="10" spans="1:10">
      <c r="A10" t="s">
        <v>53</v>
      </c>
      <c r="B10">
        <v>24756</v>
      </c>
      <c r="C10">
        <v>33807</v>
      </c>
      <c r="D10">
        <v>36800</v>
      </c>
      <c r="E10">
        <v>32885</v>
      </c>
      <c r="F10">
        <v>6329</v>
      </c>
      <c r="G10">
        <v>9564</v>
      </c>
    </row>
    <row r="11" spans="1:10">
      <c r="A11" t="s">
        <v>54</v>
      </c>
      <c r="B11">
        <f>B9-B10</f>
        <v>56137</v>
      </c>
      <c r="C11">
        <f t="shared" ref="C11:F11" si="3">C9-C10</f>
        <v>54276</v>
      </c>
      <c r="D11">
        <f t="shared" si="3"/>
        <v>64471</v>
      </c>
      <c r="E11">
        <f t="shared" si="3"/>
        <v>64904</v>
      </c>
      <c r="F11">
        <f t="shared" si="3"/>
        <v>59334</v>
      </c>
      <c r="G11">
        <f t="shared" ref="G11" si="4">G9-G10</f>
        <v>63240</v>
      </c>
    </row>
    <row r="12" spans="1:10">
      <c r="A12" t="s">
        <v>55</v>
      </c>
    </row>
    <row r="13" spans="1:10">
      <c r="A13" t="s">
        <v>49</v>
      </c>
      <c r="B13" s="16">
        <f>B7*1000/($A$3*365)</f>
        <v>202.59846916986959</v>
      </c>
      <c r="C13" s="16">
        <f t="shared" ref="C13:G13" si="5">C7*1000/($A$3*365)</f>
        <v>223.73115206464965</v>
      </c>
      <c r="D13" s="16">
        <f t="shared" si="5"/>
        <v>251.66715942314642</v>
      </c>
      <c r="E13" s="16">
        <f t="shared" si="5"/>
        <v>248.75004106303999</v>
      </c>
      <c r="F13" s="16">
        <f t="shared" si="5"/>
        <v>163.76925856575014</v>
      </c>
      <c r="G13" s="16">
        <f t="shared" si="5"/>
        <v>188.43007785552379</v>
      </c>
      <c r="H13" s="7" t="s">
        <v>5</v>
      </c>
      <c r="I13" s="7" t="s">
        <v>5</v>
      </c>
      <c r="J13" s="7" t="s">
        <v>5</v>
      </c>
    </row>
    <row r="14" spans="1:10">
      <c r="A14" t="s">
        <v>56</v>
      </c>
      <c r="B14" s="16">
        <f>B4*B5</f>
        <v>210.691</v>
      </c>
      <c r="C14" s="16">
        <f t="shared" ref="C14:G14" si="6">C4*C5</f>
        <v>232.14</v>
      </c>
      <c r="D14" s="16">
        <f t="shared" si="6"/>
        <v>260.71199999999999</v>
      </c>
      <c r="E14" s="16">
        <f t="shared" si="6"/>
        <v>256.68099999999998</v>
      </c>
      <c r="F14" s="16">
        <f t="shared" si="6"/>
        <v>167.6</v>
      </c>
      <c r="G14" s="16">
        <f t="shared" si="6"/>
        <v>188.71799999999999</v>
      </c>
      <c r="H14" s="7" t="s">
        <v>5</v>
      </c>
      <c r="I14" s="7" t="s">
        <v>5</v>
      </c>
      <c r="J14" s="7" t="s">
        <v>5</v>
      </c>
    </row>
    <row r="15" spans="1:10">
      <c r="A15" t="s">
        <v>57</v>
      </c>
      <c r="B15" s="16">
        <f>B8*1000/($A$3*365)</f>
        <v>63.138530271673069</v>
      </c>
      <c r="C15" s="16">
        <f t="shared" ref="C15:G16" si="7">C8*1000/($A$3*365)</f>
        <v>65.625307972799845</v>
      </c>
      <c r="D15" s="16">
        <f t="shared" si="7"/>
        <v>81.012450313721629</v>
      </c>
      <c r="E15" s="16">
        <f t="shared" si="7"/>
        <v>72.491048257284589</v>
      </c>
      <c r="F15" s="16">
        <f t="shared" si="7"/>
        <v>51.936532965408496</v>
      </c>
      <c r="G15" s="16">
        <f t="shared" si="7"/>
        <v>50.734207154824084</v>
      </c>
      <c r="H15" s="7" t="s">
        <v>5</v>
      </c>
      <c r="I15" s="7" t="s">
        <v>5</v>
      </c>
      <c r="J15" s="7" t="s">
        <v>5</v>
      </c>
    </row>
    <row r="16" spans="1:10">
      <c r="A16" t="s">
        <v>58</v>
      </c>
      <c r="B16" s="19">
        <f>B9*1000/($A$3*365)</f>
        <v>265.73699944154265</v>
      </c>
      <c r="C16" s="19">
        <f t="shared" si="7"/>
        <v>289.35646003744949</v>
      </c>
      <c r="D16" s="17">
        <f t="shared" si="7"/>
        <v>332.67960973686803</v>
      </c>
      <c r="E16" s="48">
        <f t="shared" si="7"/>
        <v>321.24108932032459</v>
      </c>
      <c r="F16" s="16">
        <f t="shared" si="7"/>
        <v>215.70579153115864</v>
      </c>
      <c r="G16" s="16">
        <f t="shared" si="7"/>
        <v>239.1642850103479</v>
      </c>
      <c r="H16" s="7" t="s">
        <v>5</v>
      </c>
      <c r="I16" s="7" t="s">
        <v>5</v>
      </c>
      <c r="J16" s="7" t="s">
        <v>5</v>
      </c>
    </row>
    <row r="17" spans="1:10">
      <c r="A17" t="s">
        <v>59</v>
      </c>
      <c r="B17" s="19">
        <f>B11*1000/($A$3*365)</f>
        <v>184.4124700239808</v>
      </c>
      <c r="C17" s="19">
        <f t="shared" ref="C17:G17" si="8">C11*1000/($A$3*365)</f>
        <v>178.29900463191092</v>
      </c>
      <c r="D17" s="17">
        <f t="shared" si="8"/>
        <v>211.79002003876352</v>
      </c>
      <c r="E17" s="48">
        <f t="shared" si="8"/>
        <v>213.21244374363522</v>
      </c>
      <c r="F17" s="16">
        <f t="shared" si="8"/>
        <v>194.91475312900366</v>
      </c>
      <c r="G17" s="16">
        <f t="shared" si="8"/>
        <v>207.74613186163398</v>
      </c>
      <c r="H17" s="7" t="s">
        <v>5</v>
      </c>
      <c r="I17" s="7" t="s">
        <v>5</v>
      </c>
      <c r="J17" s="7" t="s">
        <v>5</v>
      </c>
    </row>
    <row r="18" spans="1:10">
      <c r="A18" s="20" t="s">
        <v>60</v>
      </c>
      <c r="B18" s="2">
        <f t="shared" ref="B18:G18" si="9">B16-B17</f>
        <v>81.324529417561848</v>
      </c>
      <c r="C18" s="2">
        <f t="shared" si="9"/>
        <v>111.05745540553858</v>
      </c>
      <c r="D18" s="68">
        <f t="shared" si="9"/>
        <v>120.88958969810452</v>
      </c>
      <c r="E18" s="2">
        <f t="shared" si="9"/>
        <v>108.02864557668937</v>
      </c>
      <c r="F18" s="2">
        <f t="shared" si="9"/>
        <v>20.791038402154982</v>
      </c>
      <c r="G18" s="2">
        <f t="shared" si="9"/>
        <v>31.418153148713913</v>
      </c>
      <c r="H18" s="7" t="s">
        <v>5</v>
      </c>
      <c r="J18" s="7" t="s">
        <v>5</v>
      </c>
    </row>
    <row r="19" spans="1:10">
      <c r="A19" s="20" t="s">
        <v>61</v>
      </c>
      <c r="B19" t="s">
        <v>5</v>
      </c>
      <c r="E19" s="57" t="s">
        <v>5</v>
      </c>
      <c r="H19" s="6" t="s">
        <v>45</v>
      </c>
      <c r="I19" s="6" t="s">
        <v>46</v>
      </c>
      <c r="J19" t="s">
        <v>62</v>
      </c>
    </row>
    <row r="20" spans="1:10">
      <c r="A20" s="22" t="s">
        <v>135</v>
      </c>
      <c r="B20" s="56" t="s">
        <v>5</v>
      </c>
      <c r="C20" s="18">
        <f t="shared" ref="C20:G21" si="10">LN(C16/B16)</f>
        <v>8.5152258035115669E-2</v>
      </c>
      <c r="D20" s="18">
        <f t="shared" si="10"/>
        <v>0.13952054010821127</v>
      </c>
      <c r="E20" s="18">
        <f t="shared" si="10"/>
        <v>-3.498799561069315E-2</v>
      </c>
      <c r="F20" s="18">
        <f t="shared" si="10"/>
        <v>-0.39827649532996767</v>
      </c>
      <c r="G20" s="18">
        <f t="shared" si="10"/>
        <v>0.10323529780070877</v>
      </c>
      <c r="H20" s="18" t="s">
        <v>5</v>
      </c>
      <c r="I20" s="18" t="s">
        <v>5</v>
      </c>
      <c r="J20" s="18" t="s">
        <v>5</v>
      </c>
    </row>
    <row r="21" spans="1:10">
      <c r="A21" s="54" t="s">
        <v>66</v>
      </c>
      <c r="B21" s="18" t="s">
        <v>5</v>
      </c>
      <c r="C21" s="18">
        <f t="shared" si="10"/>
        <v>-3.3712991388191525E-2</v>
      </c>
      <c r="D21" s="18">
        <f t="shared" si="10"/>
        <v>0.17213337000895637</v>
      </c>
      <c r="E21" s="18">
        <f t="shared" si="10"/>
        <v>6.6937448001011014E-3</v>
      </c>
      <c r="F21" s="18">
        <f t="shared" si="10"/>
        <v>-8.9726757576855026E-2</v>
      </c>
      <c r="G21" s="18">
        <f t="shared" si="10"/>
        <v>6.3754514825362513E-2</v>
      </c>
      <c r="H21" s="18" t="s">
        <v>5</v>
      </c>
      <c r="I21" s="18" t="s">
        <v>5</v>
      </c>
    </row>
    <row r="22" spans="1:10">
      <c r="A22" s="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FIVE</vt:lpstr>
      <vt:lpstr>FIVEDeter</vt:lpstr>
      <vt:lpstr>FIVEStochastic</vt:lpstr>
      <vt:lpstr>HUDSON</vt:lpstr>
    </vt:vector>
  </TitlesOfParts>
  <Company>Real Value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A. Paxson</dc:creator>
  <cp:lastModifiedBy>Windows User</cp:lastModifiedBy>
  <cp:lastPrinted>2012-02-06T19:05:39Z</cp:lastPrinted>
  <dcterms:created xsi:type="dcterms:W3CDTF">2006-02-06T20:13:39Z</dcterms:created>
  <dcterms:modified xsi:type="dcterms:W3CDTF">2014-01-08T22:46:12Z</dcterms:modified>
</cp:coreProperties>
</file>